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855" activeTab="0"/>
  </bookViews>
  <sheets>
    <sheet name="Лист1" sheetId="1" r:id="rId1"/>
    <sheet name="2" sheetId="2" r:id="rId2"/>
    <sheet name="3" sheetId="3" r:id="rId3"/>
    <sheet name="вторичка" sheetId="4" r:id="rId4"/>
    <sheet name="застройщики" sheetId="5" r:id="rId5"/>
  </sheets>
  <definedNames>
    <definedName name="_xlnm.Print_Titles" localSheetId="1">'2'!$7:$11</definedName>
    <definedName name="_xlnm.Print_Titles" localSheetId="2">'3'!$12:$15</definedName>
    <definedName name="_xlnm.Print_Titles" localSheetId="0">'Лист1'!$4:$8</definedName>
  </definedNames>
  <calcPr fullCalcOnLoad="1"/>
</workbook>
</file>

<file path=xl/sharedStrings.xml><?xml version="1.0" encoding="utf-8"?>
<sst xmlns="http://schemas.openxmlformats.org/spreadsheetml/2006/main" count="388" uniqueCount="113">
  <si>
    <t>№ п/п</t>
  </si>
  <si>
    <t>Номер</t>
  </si>
  <si>
    <t>Дата</t>
  </si>
  <si>
    <t>Планируемая дата  окончания
переселения</t>
  </si>
  <si>
    <t>Число жителей всего</t>
  </si>
  <si>
    <t>чел.</t>
  </si>
  <si>
    <t>Число жителей планируемых
 к переселению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</si>
  <si>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</si>
  <si>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</si>
  <si>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</si>
  <si>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</si>
  <si>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</si>
  <si>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</si>
  <si>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</si>
  <si>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</si>
  <si>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</si>
  <si>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</si>
  <si>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</si>
  <si>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</si>
  <si>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</si>
  <si>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</si>
  <si>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</si>
  <si>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 источники
финансирования</t>
  </si>
  <si>
    <t xml:space="preserve">
</t>
  </si>
  <si>
    <t xml:space="preserve">
</t>
  </si>
  <si>
    <t xml:space="preserve">
</t>
  </si>
  <si>
    <t>X</t>
  </si>
  <si>
    <t>Перечень аварийных многоквартирных домов</t>
  </si>
  <si>
    <t>Планируемая дата сноса многоквартирного дома</t>
  </si>
  <si>
    <t>Общая площадь жилых
помещений многоквартирного дома</t>
  </si>
  <si>
    <t>Адрес
многоквартирного дома</t>
  </si>
  <si>
    <t>г. Иваново, ул. 1-я Энергетическая, д. 19</t>
  </si>
  <si>
    <t>г. Иваново, ул. 2-я Энергетическая, д. 24</t>
  </si>
  <si>
    <t>г. Иваново, ул. 2-я Энергетическая, д. 26</t>
  </si>
  <si>
    <t>г. Иваново, 20 Линия, д. 1</t>
  </si>
  <si>
    <t>г. Иваново, ул. 4-я Меланжевая, д. 9</t>
  </si>
  <si>
    <t>г. Иваново, ул. 6-я Меланжевая, д. 7</t>
  </si>
  <si>
    <t>г. Иваново, ул. 6-я Меланжевая, д. 14</t>
  </si>
  <si>
    <t>г. Иваново, ул. 7-я Меланжевая, д. 12</t>
  </si>
  <si>
    <t>г. Иваново, ул. 7-я Меланжевая, д. 14</t>
  </si>
  <si>
    <t>г. Иваново, ул. 7-я Меланжевая, д. 16</t>
  </si>
  <si>
    <t>г. Иваново, 10 Проезд, д. 34</t>
  </si>
  <si>
    <t>г, Иваново, ул. 10-я Сосневская, д. 154</t>
  </si>
  <si>
    <t>г. Иваново, ул. Рабфаковская, д. 8, корп. 1</t>
  </si>
  <si>
    <t>г. Иваново, ул. Чайковского, д. 30</t>
  </si>
  <si>
    <t xml:space="preserve">Итого по городскому округу Иваново </t>
  </si>
  <si>
    <t>кв. м</t>
  </si>
  <si>
    <t xml:space="preserve">
</t>
  </si>
  <si>
    <t>Удельная стоимость 1 кв.м</t>
  </si>
  <si>
    <t>Стоимость</t>
  </si>
  <si>
    <t>Площадь</t>
  </si>
  <si>
    <t>Частная собственность в т.ч.</t>
  </si>
  <si>
    <t xml:space="preserve">
</t>
  </si>
  <si>
    <t>3/4 от нормативной стоимости</t>
  </si>
  <si>
    <t>Нормативная стоимость 1 кв.м</t>
  </si>
  <si>
    <t>Дополнительные источники финансирования</t>
  </si>
  <si>
    <t>Стоимость всего</t>
  </si>
  <si>
    <t>Выкуп жилых помещений у
собственников</t>
  </si>
  <si>
    <t>Приобретение жилых помещений у
лиц, не являющихся застройщиком</t>
  </si>
  <si>
    <t>Приобретение жилых
помещений у застройщиков</t>
  </si>
  <si>
    <t>Строительство многоквартирного дома</t>
  </si>
  <si>
    <t>Расселяемая площадь</t>
  </si>
  <si>
    <t>Адрес многоквартирного дома</t>
  </si>
  <si>
    <t>Реестр аварийных многоквартирных домов по способам переселения</t>
  </si>
  <si>
    <t>Планируемые показатели выполнения адресной программы</t>
  </si>
  <si>
    <t>по переселению граждан из аварийного жилищного фонда</t>
  </si>
  <si>
    <t>Наименование муниципального образования</t>
  </si>
  <si>
    <t>Расселенная площадь</t>
  </si>
  <si>
    <t>Количество расселенных помещений</t>
  </si>
  <si>
    <t>Количество переселенных жителей</t>
  </si>
  <si>
    <t>I
квартал</t>
  </si>
  <si>
    <t>II
квартал</t>
  </si>
  <si>
    <t>III
квартал</t>
  </si>
  <si>
    <t>IV
квартал</t>
  </si>
  <si>
    <t>Всего по
году</t>
  </si>
  <si>
    <t>Итого по 2013 году</t>
  </si>
  <si>
    <t>Итого по 2014 году</t>
  </si>
  <si>
    <t>Всего по городскому округу Иваново</t>
  </si>
  <si>
    <t>г. Иваново, ул. 10-я Сосневская, д. 154</t>
  </si>
  <si>
    <t>Итого по городскому округу Иваново</t>
  </si>
  <si>
    <t>Общая площадь</t>
  </si>
  <si>
    <t>Жилая площадь</t>
  </si>
  <si>
    <t>Средняя стоимость 1 кв.м.</t>
  </si>
  <si>
    <t>ООО "Авангард"</t>
  </si>
  <si>
    <t>АН "Гарант  Риэлти"</t>
  </si>
  <si>
    <t>ООО "ГорЖилБюро"</t>
  </si>
  <si>
    <t>ЗАО «Ивановский центр недвижимости»</t>
  </si>
  <si>
    <t>№ кв</t>
  </si>
  <si>
    <t>Двухкомнатная квартира</t>
  </si>
  <si>
    <t>Трехкомнатная квартира</t>
  </si>
  <si>
    <t>Комната в коммунальной квартире</t>
  </si>
  <si>
    <t>Две комнаты в коммунальной квартире</t>
  </si>
  <si>
    <t>Однокомнатная квартира</t>
  </si>
  <si>
    <t>Средняя стоимость жилого помещения</t>
  </si>
  <si>
    <t>Площадь предоставляемых жилых помещений</t>
  </si>
  <si>
    <t>Общая</t>
  </si>
  <si>
    <t>Жилая</t>
  </si>
  <si>
    <t>Стоимость приобретения жилых помещений</t>
  </si>
  <si>
    <t>Стоимость по данным агентств недвижимости</t>
  </si>
  <si>
    <t>Х</t>
  </si>
  <si>
    <t>АН "Дельта Риэлти"</t>
  </si>
  <si>
    <t>ОАО "ДСК"</t>
  </si>
  <si>
    <t>ООО "КСК"</t>
  </si>
  <si>
    <t>Документ,
подтверждающий
признание многоквартирного дома
аварийным (заключение межведомственной комиссии)</t>
  </si>
  <si>
    <t>Экономическое обоснование</t>
  </si>
  <si>
    <t>Расчет  объема финансирования долгосрочной целевой программы города Иванова</t>
  </si>
  <si>
    <t>Приложение №1 к долгосрочной целевой программе города Иванова  "Муниципальная адресная программа "Переселение граждан из аварийного жилищного фонда, расположенного на территории городского округа Иваново, в 2013-2015 годах"</t>
  </si>
  <si>
    <t>Приложение № 2 к долгосрочной целевой программе города Иванова  "Муниципальная адресная программа "Переселение граждан из аварийного жилищного фонда, расположенного на территории городского округа Иваново, в 2013-2015 годах"</t>
  </si>
  <si>
    <t>Приложение №3 к долгосрочной целевой программе города Иванова  "Муниципальная адресная программа "Переселение граждан из аварийного жилищного фонда, расположенного на территории городского округа Иваново, в 2013-2015 годах"</t>
  </si>
  <si>
    <t xml:space="preserve">   "Муниципальная адресная программа "Переселение граждан из аварийного жилищного фонда, расположенного на территории городского округа Иваново, в 2013-2015 годах" на 2013 год</t>
  </si>
  <si>
    <t>Расчет объема финансирования долгосрочной целевой программы города Иванова "Муниципальная адресная программа "Переселение граждан из аварийного жилищного фонда, расположенного на территории городского округа Иваново, в 2013-2015 годах" на 2014 год</t>
  </si>
  <si>
    <t>4 квартал 2014</t>
  </si>
  <si>
    <t>4 квартал 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</si>
</sst>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"/>
    <numFmt numFmtId="167" formatCode="###.0\ ###\ ###\ ##0"/>
    <numFmt numFmtId="168" formatCode="0.000"/>
    <numFmt numFmtId="169" formatCode="####\ ###\ ###\ ##0.00"/>
    <numFmt numFmtId="170" formatCode="0.0000"/>
    <numFmt numFmtId="171" formatCode="0.00000"/>
    <numFmt numFmtId="172" formatCode="0.000000"/>
    <numFmt numFmtId="173" formatCode="###.###\ ###\ ##0"/>
    <numFmt numFmtId="174" formatCode="###.##\ ###\ ##0"/>
    <numFmt numFmtId="175" formatCode="###.#\ ###\ ##0"/>
    <numFmt numFmtId="176" formatCode="###.###\ ##0"/>
    <numFmt numFmtId="177" formatCode="[$-FC19]d\ mmmm\ yyyy\ &quot;г.&quot;"/>
    <numFmt numFmtId="178" formatCode="000000"/>
    <numFmt numFmtId="179" formatCode="[$-419]mmmm\ yyyy;@"/>
    <numFmt numFmtId="180" formatCode="d/m;@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65" fontId="6" fillId="33" borderId="10" xfId="0" applyNumberFormat="1" applyFont="1" applyFill="1" applyBorder="1" applyAlignment="1">
      <alignment horizontal="center" wrapText="1"/>
    </xf>
    <xf numFmtId="164" fontId="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33" borderId="10" xfId="0" applyNumberFormat="1" applyFont="1" applyFill="1" applyBorder="1" applyAlignment="1">
      <alignment horizontal="center" wrapText="1"/>
    </xf>
    <xf numFmtId="0" fontId="4" fillId="0" borderId="10" xfId="53" applyFont="1" applyBorder="1" applyAlignment="1">
      <alignment horizontal="center"/>
      <protection/>
    </xf>
    <xf numFmtId="165" fontId="4" fillId="0" borderId="10" xfId="53" applyNumberFormat="1" applyFont="1" applyBorder="1" applyAlignment="1">
      <alignment horizontal="center" wrapText="1"/>
      <protection/>
    </xf>
    <xf numFmtId="165" fontId="0" fillId="0" borderId="10" xfId="53" applyNumberFormat="1" applyBorder="1" applyAlignment="1">
      <alignment horizont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/>
      <protection/>
    </xf>
    <xf numFmtId="0" fontId="0" fillId="34" borderId="0" xfId="53" applyFill="1">
      <alignment/>
      <protection/>
    </xf>
    <xf numFmtId="0" fontId="3" fillId="34" borderId="10" xfId="53" applyFont="1" applyFill="1" applyBorder="1" applyAlignment="1">
      <alignment horizontal="left" wrapText="1"/>
      <protection/>
    </xf>
    <xf numFmtId="165" fontId="4" fillId="34" borderId="10" xfId="53" applyNumberFormat="1" applyFont="1" applyFill="1" applyBorder="1" applyAlignment="1">
      <alignment horizontal="right"/>
      <protection/>
    </xf>
    <xf numFmtId="0" fontId="3" fillId="35" borderId="10" xfId="53" applyFont="1" applyFill="1" applyBorder="1" applyAlignment="1">
      <alignment horizontal="left" wrapText="1"/>
      <protection/>
    </xf>
    <xf numFmtId="165" fontId="4" fillId="35" borderId="10" xfId="53" applyNumberFormat="1" applyFont="1" applyFill="1" applyBorder="1" applyAlignment="1">
      <alignment horizontal="right"/>
      <protection/>
    </xf>
    <xf numFmtId="2" fontId="0" fillId="35" borderId="10" xfId="53" applyNumberFormat="1" applyFill="1" applyBorder="1">
      <alignment/>
      <protection/>
    </xf>
    <xf numFmtId="165" fontId="4" fillId="33" borderId="10" xfId="53" applyNumberFormat="1" applyFont="1" applyFill="1" applyBorder="1" applyAlignment="1">
      <alignment horizontal="right"/>
      <protection/>
    </xf>
    <xf numFmtId="165" fontId="4" fillId="35" borderId="10" xfId="53" applyNumberFormat="1" applyFont="1" applyFill="1" applyBorder="1" applyAlignment="1">
      <alignment horizontal="right" wrapText="1"/>
      <protection/>
    </xf>
    <xf numFmtId="0" fontId="4" fillId="33" borderId="10" xfId="53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left" wrapText="1"/>
      <protection/>
    </xf>
    <xf numFmtId="165" fontId="4" fillId="33" borderId="10" xfId="53" applyNumberFormat="1" applyFont="1" applyFill="1" applyBorder="1" applyAlignment="1">
      <alignment horizontal="right" wrapText="1"/>
      <protection/>
    </xf>
    <xf numFmtId="0" fontId="4" fillId="33" borderId="10" xfId="53" applyNumberFormat="1" applyFont="1" applyFill="1" applyBorder="1" applyAlignment="1">
      <alignment horizontal="right" wrapText="1"/>
      <protection/>
    </xf>
    <xf numFmtId="165" fontId="4" fillId="0" borderId="10" xfId="53" applyNumberFormat="1" applyFont="1" applyBorder="1" applyAlignment="1">
      <alignment horizontal="right" wrapText="1"/>
      <protection/>
    </xf>
    <xf numFmtId="165" fontId="4" fillId="0" borderId="10" xfId="53" applyNumberFormat="1" applyFont="1" applyBorder="1">
      <alignment/>
      <protection/>
    </xf>
    <xf numFmtId="2" fontId="1" fillId="0" borderId="10" xfId="53" applyNumberFormat="1" applyFont="1" applyBorder="1">
      <alignment/>
      <protection/>
    </xf>
    <xf numFmtId="0" fontId="4" fillId="0" borderId="10" xfId="53" applyFont="1" applyBorder="1" applyAlignment="1">
      <alignment horizontal="right" wrapText="1"/>
      <protection/>
    </xf>
    <xf numFmtId="0" fontId="4" fillId="0" borderId="10" xfId="53" applyFont="1" applyBorder="1">
      <alignment/>
      <protection/>
    </xf>
    <xf numFmtId="2" fontId="0" fillId="0" borderId="0" xfId="0" applyNumberFormat="1" applyAlignment="1">
      <alignment/>
    </xf>
    <xf numFmtId="0" fontId="0" fillId="0" borderId="10" xfId="53" applyFont="1" applyBorder="1" applyAlignment="1">
      <alignment horizontal="center" wrapText="1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1" fontId="6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wrapText="1"/>
    </xf>
    <xf numFmtId="165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169" fontId="12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 quotePrefix="1">
      <alignment horizontal="left"/>
    </xf>
    <xf numFmtId="1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 quotePrefix="1">
      <alignment horizontal="left"/>
    </xf>
    <xf numFmtId="14" fontId="6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 wrapText="1"/>
    </xf>
    <xf numFmtId="0" fontId="6" fillId="33" borderId="19" xfId="0" applyFont="1" applyFill="1" applyBorder="1" applyAlignment="1" quotePrefix="1">
      <alignment horizontal="left"/>
    </xf>
    <xf numFmtId="14" fontId="6" fillId="33" borderId="19" xfId="0" applyNumberFormat="1" applyFont="1" applyFill="1" applyBorder="1" applyAlignment="1">
      <alignment horizontal="center"/>
    </xf>
    <xf numFmtId="164" fontId="6" fillId="33" borderId="19" xfId="0" applyNumberFormat="1" applyFont="1" applyFill="1" applyBorder="1" applyAlignment="1">
      <alignment horizontal="right"/>
    </xf>
    <xf numFmtId="164" fontId="6" fillId="0" borderId="19" xfId="0" applyNumberFormat="1" applyFont="1" applyBorder="1" applyAlignment="1">
      <alignment horizontal="center"/>
    </xf>
    <xf numFmtId="2" fontId="6" fillId="33" borderId="19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1" xfId="0" applyFont="1" applyBorder="1" applyAlignment="1" quotePrefix="1">
      <alignment horizontal="left"/>
    </xf>
    <xf numFmtId="1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center"/>
    </xf>
    <xf numFmtId="2" fontId="6" fillId="33" borderId="21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 quotePrefix="1">
      <alignment horizontal="left"/>
    </xf>
    <xf numFmtId="1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7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7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4" fontId="6" fillId="33" borderId="28" xfId="0" applyNumberFormat="1" applyFont="1" applyFill="1" applyBorder="1" applyAlignment="1">
      <alignment horizontal="right"/>
    </xf>
    <xf numFmtId="4" fontId="6" fillId="33" borderId="32" xfId="0" applyNumberFormat="1" applyFont="1" applyFill="1" applyBorder="1" applyAlignment="1">
      <alignment horizontal="right"/>
    </xf>
    <xf numFmtId="4" fontId="6" fillId="33" borderId="24" xfId="0" applyNumberFormat="1" applyFont="1" applyFill="1" applyBorder="1" applyAlignment="1">
      <alignment horizontal="right"/>
    </xf>
    <xf numFmtId="4" fontId="6" fillId="33" borderId="3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textRotation="90" wrapText="1"/>
    </xf>
    <xf numFmtId="4" fontId="6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textRotation="90" wrapText="1"/>
    </xf>
    <xf numFmtId="0" fontId="1" fillId="0" borderId="36" xfId="0" applyFont="1" applyBorder="1" applyAlignment="1">
      <alignment horizontal="center"/>
    </xf>
    <xf numFmtId="4" fontId="7" fillId="0" borderId="37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4" fontId="7" fillId="33" borderId="30" xfId="0" applyNumberFormat="1" applyFont="1" applyFill="1" applyBorder="1" applyAlignment="1">
      <alignment horizontal="right"/>
    </xf>
    <xf numFmtId="4" fontId="6" fillId="33" borderId="31" xfId="0" applyNumberFormat="1" applyFont="1" applyFill="1" applyBorder="1" applyAlignment="1">
      <alignment horizontal="right"/>
    </xf>
    <xf numFmtId="4" fontId="6" fillId="33" borderId="29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left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 quotePrefix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165" fontId="4" fillId="36" borderId="10" xfId="53" applyNumberFormat="1" applyFont="1" applyFill="1" applyBorder="1" applyAlignment="1">
      <alignment horizontal="right"/>
      <protection/>
    </xf>
    <xf numFmtId="179" fontId="6" fillId="0" borderId="21" xfId="0" applyNumberFormat="1" applyFont="1" applyBorder="1" applyAlignment="1" quotePrefix="1">
      <alignment horizontal="center"/>
    </xf>
    <xf numFmtId="180" fontId="0" fillId="0" borderId="0" xfId="0" applyNumberFormat="1" applyAlignment="1">
      <alignment/>
    </xf>
    <xf numFmtId="179" fontId="6" fillId="0" borderId="19" xfId="0" applyNumberFormat="1" applyFont="1" applyBorder="1" applyAlignment="1" quotePrefix="1">
      <alignment horizontal="center"/>
    </xf>
    <xf numFmtId="0" fontId="1" fillId="0" borderId="40" xfId="0" applyFont="1" applyBorder="1" applyAlignment="1">
      <alignment horizontal="center" textRotation="90" wrapText="1"/>
    </xf>
    <xf numFmtId="0" fontId="0" fillId="0" borderId="28" xfId="0" applyBorder="1" applyAlignment="1">
      <alignment/>
    </xf>
    <xf numFmtId="0" fontId="1" fillId="0" borderId="41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10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1" fillId="33" borderId="40" xfId="0" applyFont="1" applyFill="1" applyBorder="1" applyAlignment="1">
      <alignment horizontal="center" textRotation="90"/>
    </xf>
    <xf numFmtId="0" fontId="0" fillId="33" borderId="28" xfId="0" applyFill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23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1" fillId="0" borderId="41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1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7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0" fontId="0" fillId="0" borderId="10" xfId="53" applyBorder="1" applyAlignment="1">
      <alignment horizontal="center" wrapText="1"/>
      <protection/>
    </xf>
    <xf numFmtId="0" fontId="0" fillId="0" borderId="24" xfId="53" applyFont="1" applyBorder="1" applyAlignment="1">
      <alignment horizontal="center"/>
      <protection/>
    </xf>
    <xf numFmtId="0" fontId="0" fillId="0" borderId="48" xfId="53" applyBorder="1" applyAlignment="1">
      <alignment horizontal="center"/>
      <protection/>
    </xf>
    <xf numFmtId="0" fontId="0" fillId="0" borderId="35" xfId="53" applyBorder="1" applyAlignment="1">
      <alignment horizontal="center"/>
      <protection/>
    </xf>
    <xf numFmtId="165" fontId="4" fillId="0" borderId="11" xfId="53" applyNumberFormat="1" applyFont="1" applyBorder="1" applyAlignment="1">
      <alignment horizontal="center" wrapText="1"/>
      <protection/>
    </xf>
    <xf numFmtId="165" fontId="4" fillId="0" borderId="21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0" fillId="0" borderId="49" xfId="0" applyBorder="1" applyAlignment="1">
      <alignment horizontal="center" wrapText="1"/>
    </xf>
    <xf numFmtId="0" fontId="0" fillId="0" borderId="24" xfId="53" applyFont="1" applyBorder="1" applyAlignment="1">
      <alignment horizontal="center" wrapText="1"/>
      <protection/>
    </xf>
    <xf numFmtId="0" fontId="0" fillId="0" borderId="48" xfId="53" applyFont="1" applyBorder="1" applyAlignment="1">
      <alignment horizontal="center" wrapText="1"/>
      <protection/>
    </xf>
    <xf numFmtId="0" fontId="0" fillId="0" borderId="35" xfId="53" applyFont="1" applyBorder="1" applyAlignment="1">
      <alignment horizontal="center" wrapText="1"/>
      <protection/>
    </xf>
    <xf numFmtId="165" fontId="4" fillId="0" borderId="24" xfId="53" applyNumberFormat="1" applyFont="1" applyBorder="1" applyAlignment="1">
      <alignment horizontal="center" wrapText="1"/>
      <protection/>
    </xf>
    <xf numFmtId="165" fontId="4" fillId="0" borderId="35" xfId="53" applyNumberFormat="1" applyFont="1" applyBorder="1" applyAlignment="1">
      <alignment horizontal="center" wrapText="1"/>
      <protection/>
    </xf>
    <xf numFmtId="0" fontId="4" fillId="0" borderId="50" xfId="53" applyFont="1" applyBorder="1" applyAlignment="1">
      <alignment horizontal="center"/>
      <protection/>
    </xf>
    <xf numFmtId="0" fontId="4" fillId="0" borderId="3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51" xfId="53" applyFont="1" applyBorder="1" applyAlignment="1">
      <alignment horizontal="center"/>
      <protection/>
    </xf>
    <xf numFmtId="0" fontId="0" fillId="0" borderId="11" xfId="53" applyBorder="1" applyAlignment="1">
      <alignment horizontal="center" wrapText="1"/>
      <protection/>
    </xf>
    <xf numFmtId="0" fontId="0" fillId="0" borderId="52" xfId="53" applyBorder="1" applyAlignment="1">
      <alignment horizontal="center" wrapText="1"/>
      <protection/>
    </xf>
    <xf numFmtId="0" fontId="0" fillId="0" borderId="21" xfId="53" applyBorder="1" applyAlignment="1">
      <alignment horizontal="center" wrapText="1"/>
      <protection/>
    </xf>
    <xf numFmtId="165" fontId="4" fillId="0" borderId="52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80" zoomScaleNormal="80" zoomScalePageLayoutView="0" workbookViewId="0" topLeftCell="A7">
      <pane xSplit="2" topLeftCell="C1" activePane="topRight" state="frozen"/>
      <selection pane="topLeft" activeCell="A1" sqref="A1"/>
      <selection pane="topRight" activeCell="F27" sqref="F27"/>
    </sheetView>
  </sheetViews>
  <sheetFormatPr defaultColWidth="9.00390625" defaultRowHeight="12.75"/>
  <cols>
    <col min="1" max="1" width="9.00390625" style="0" customWidth="1"/>
    <col min="2" max="2" width="42.625" style="0" customWidth="1"/>
    <col min="3" max="3" width="8.375" style="0" customWidth="1"/>
    <col min="4" max="4" width="12.75390625" style="0" customWidth="1"/>
    <col min="5" max="5" width="14.375" style="0" customWidth="1"/>
    <col min="6" max="6" width="15.625" style="0" customWidth="1"/>
    <col min="7" max="12" width="9.75390625" style="0" customWidth="1"/>
    <col min="13" max="13" width="10.875" style="0" customWidth="1"/>
    <col min="14" max="14" width="11.00390625" style="0" customWidth="1"/>
    <col min="15" max="15" width="12.25390625" style="0" customWidth="1"/>
    <col min="16" max="16" width="17.875" style="13" customWidth="1"/>
    <col min="17" max="17" width="15.375" style="0" customWidth="1"/>
    <col min="18" max="18" width="15.25390625" style="0" customWidth="1"/>
    <col min="19" max="19" width="16.375" style="0" customWidth="1"/>
    <col min="20" max="20" width="16.00390625" style="0" customWidth="1"/>
    <col min="21" max="21" width="0" style="0" hidden="1" customWidth="1"/>
  </cols>
  <sheetData>
    <row r="1" spans="14:20" ht="12.75">
      <c r="N1" s="207" t="s">
        <v>106</v>
      </c>
      <c r="O1" s="207"/>
      <c r="P1" s="207"/>
      <c r="Q1" s="207"/>
      <c r="R1" s="207"/>
      <c r="S1" s="207"/>
      <c r="T1" s="207"/>
    </row>
    <row r="2" spans="14:20" ht="36.75" customHeight="1">
      <c r="N2" s="207"/>
      <c r="O2" s="207"/>
      <c r="P2" s="207"/>
      <c r="Q2" s="207"/>
      <c r="R2" s="207"/>
      <c r="S2" s="207"/>
      <c r="T2" s="207"/>
    </row>
    <row r="3" spans="1:20" ht="13.5" thickBot="1">
      <c r="A3" s="209" t="s">
        <v>27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</row>
    <row r="4" spans="1:21" ht="39" customHeight="1" thickBot="1">
      <c r="A4" s="211" t="s">
        <v>0</v>
      </c>
      <c r="B4" s="187" t="s">
        <v>30</v>
      </c>
      <c r="C4" s="203" t="s">
        <v>103</v>
      </c>
      <c r="D4" s="204"/>
      <c r="E4" s="208" t="s">
        <v>3</v>
      </c>
      <c r="F4" s="202" t="s">
        <v>28</v>
      </c>
      <c r="G4" s="202" t="s">
        <v>4</v>
      </c>
      <c r="H4" s="208" t="s">
        <v>6</v>
      </c>
      <c r="I4" s="208" t="s">
        <v>29</v>
      </c>
      <c r="J4" s="187" t="s">
        <v>8</v>
      </c>
      <c r="K4" s="188"/>
      <c r="L4" s="188"/>
      <c r="M4" s="187" t="s">
        <v>14</v>
      </c>
      <c r="N4" s="188"/>
      <c r="O4" s="189"/>
      <c r="P4" s="194" t="s">
        <v>15</v>
      </c>
      <c r="Q4" s="188"/>
      <c r="R4" s="188"/>
      <c r="S4" s="195"/>
      <c r="T4" s="185" t="s">
        <v>22</v>
      </c>
      <c r="U4" s="1" t="s">
        <v>23</v>
      </c>
    </row>
    <row r="5" spans="1:20" ht="81" customHeight="1">
      <c r="A5" s="212"/>
      <c r="B5" s="191"/>
      <c r="C5" s="205"/>
      <c r="D5" s="206"/>
      <c r="E5" s="191"/>
      <c r="F5" s="191"/>
      <c r="G5" s="191"/>
      <c r="H5" s="191"/>
      <c r="I5" s="191"/>
      <c r="J5" s="190" t="s">
        <v>9</v>
      </c>
      <c r="K5" s="192" t="s">
        <v>11</v>
      </c>
      <c r="L5" s="191"/>
      <c r="M5" s="190" t="s">
        <v>9</v>
      </c>
      <c r="N5" s="192" t="s">
        <v>11</v>
      </c>
      <c r="O5" s="193"/>
      <c r="P5" s="196" t="s">
        <v>16</v>
      </c>
      <c r="Q5" s="198" t="s">
        <v>18</v>
      </c>
      <c r="R5" s="191"/>
      <c r="S5" s="199"/>
      <c r="T5" s="186"/>
    </row>
    <row r="6" spans="1:21" ht="93" customHeight="1">
      <c r="A6" s="212"/>
      <c r="B6" s="191"/>
      <c r="C6" s="190" t="s">
        <v>1</v>
      </c>
      <c r="D6" s="190" t="s">
        <v>2</v>
      </c>
      <c r="E6" s="191"/>
      <c r="F6" s="191"/>
      <c r="G6" s="191"/>
      <c r="H6" s="191"/>
      <c r="I6" s="191"/>
      <c r="J6" s="191"/>
      <c r="K6" s="3" t="s">
        <v>12</v>
      </c>
      <c r="L6" s="3" t="s">
        <v>13</v>
      </c>
      <c r="M6" s="191"/>
      <c r="N6" s="3" t="s">
        <v>12</v>
      </c>
      <c r="O6" s="143" t="s">
        <v>13</v>
      </c>
      <c r="P6" s="197"/>
      <c r="Q6" s="163" t="s">
        <v>19</v>
      </c>
      <c r="R6" s="3" t="s">
        <v>20</v>
      </c>
      <c r="S6" s="160" t="s">
        <v>21</v>
      </c>
      <c r="T6" s="186"/>
      <c r="U6" s="1" t="s">
        <v>24</v>
      </c>
    </row>
    <row r="7" spans="1:21" ht="36" customHeight="1">
      <c r="A7" s="212"/>
      <c r="B7" s="191"/>
      <c r="C7" s="191"/>
      <c r="D7" s="191"/>
      <c r="E7" s="191"/>
      <c r="F7" s="191"/>
      <c r="G7" s="4" t="s">
        <v>5</v>
      </c>
      <c r="H7" s="2" t="s">
        <v>5</v>
      </c>
      <c r="I7" s="2" t="s">
        <v>7</v>
      </c>
      <c r="J7" s="2" t="s">
        <v>10</v>
      </c>
      <c r="K7" s="2" t="s">
        <v>10</v>
      </c>
      <c r="L7" s="2" t="s">
        <v>10</v>
      </c>
      <c r="M7" s="2" t="s">
        <v>7</v>
      </c>
      <c r="N7" s="2" t="s">
        <v>7</v>
      </c>
      <c r="O7" s="144" t="s">
        <v>7</v>
      </c>
      <c r="P7" s="170" t="s">
        <v>17</v>
      </c>
      <c r="Q7" s="162" t="s">
        <v>17</v>
      </c>
      <c r="R7" s="2" t="s">
        <v>17</v>
      </c>
      <c r="S7" s="99" t="s">
        <v>17</v>
      </c>
      <c r="T7" s="150" t="s">
        <v>17</v>
      </c>
      <c r="U7" s="1" t="s">
        <v>25</v>
      </c>
    </row>
    <row r="8" spans="1:20" ht="13.5" thickBot="1">
      <c r="A8" s="100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G8" s="91">
        <v>7</v>
      </c>
      <c r="H8" s="91">
        <v>8</v>
      </c>
      <c r="I8" s="91">
        <v>9</v>
      </c>
      <c r="J8" s="91">
        <v>10</v>
      </c>
      <c r="K8" s="91">
        <v>11</v>
      </c>
      <c r="L8" s="91">
        <v>12</v>
      </c>
      <c r="M8" s="91">
        <v>13</v>
      </c>
      <c r="N8" s="91">
        <v>14</v>
      </c>
      <c r="O8" s="145">
        <v>15</v>
      </c>
      <c r="P8" s="171">
        <v>16</v>
      </c>
      <c r="Q8" s="164">
        <v>17</v>
      </c>
      <c r="R8" s="91">
        <v>18</v>
      </c>
      <c r="S8" s="101">
        <v>19</v>
      </c>
      <c r="T8" s="151">
        <v>20</v>
      </c>
    </row>
    <row r="9" spans="1:20" ht="16.5" thickBot="1">
      <c r="A9" s="200" t="s">
        <v>77</v>
      </c>
      <c r="B9" s="201"/>
      <c r="C9" s="92" t="s">
        <v>26</v>
      </c>
      <c r="D9" s="93" t="s">
        <v>26</v>
      </c>
      <c r="E9" s="93" t="s">
        <v>26</v>
      </c>
      <c r="F9" s="93" t="s">
        <v>26</v>
      </c>
      <c r="G9" s="94">
        <f>G10+G13</f>
        <v>356</v>
      </c>
      <c r="H9" s="95">
        <f aca="true" t="shared" si="0" ref="H9:T9">H10+H13</f>
        <v>356</v>
      </c>
      <c r="I9" s="96">
        <f t="shared" si="0"/>
        <v>6326.8</v>
      </c>
      <c r="J9" s="94">
        <f t="shared" si="0"/>
        <v>136</v>
      </c>
      <c r="K9" s="94">
        <f t="shared" si="0"/>
        <v>56</v>
      </c>
      <c r="L9" s="94">
        <f t="shared" si="0"/>
        <v>80</v>
      </c>
      <c r="M9" s="97">
        <f t="shared" si="0"/>
        <v>6161.71</v>
      </c>
      <c r="N9" s="97">
        <f t="shared" si="0"/>
        <v>2370.5</v>
      </c>
      <c r="O9" s="146">
        <f t="shared" si="0"/>
        <v>3791.21</v>
      </c>
      <c r="P9" s="152">
        <f>(P10+P13)</f>
        <v>159291167.5</v>
      </c>
      <c r="Q9" s="165">
        <f>(Q10+Q13)</f>
        <v>74652869.8575</v>
      </c>
      <c r="R9" s="97">
        <f t="shared" si="0"/>
        <v>73487915.91000001</v>
      </c>
      <c r="S9" s="98">
        <f t="shared" si="0"/>
        <v>11150381.73</v>
      </c>
      <c r="T9" s="152">
        <f t="shared" si="0"/>
        <v>71200657.5</v>
      </c>
    </row>
    <row r="10" spans="1:20" ht="16.5" thickBot="1">
      <c r="A10" s="126"/>
      <c r="B10" s="127" t="s">
        <v>75</v>
      </c>
      <c r="C10" s="128" t="s">
        <v>26</v>
      </c>
      <c r="D10" s="128" t="s">
        <v>26</v>
      </c>
      <c r="E10" s="128" t="s">
        <v>26</v>
      </c>
      <c r="F10" s="128" t="s">
        <v>26</v>
      </c>
      <c r="G10" s="94">
        <f>G11+G12</f>
        <v>52</v>
      </c>
      <c r="H10" s="95">
        <f aca="true" t="shared" si="1" ref="H10:H25">G10</f>
        <v>52</v>
      </c>
      <c r="I10" s="96">
        <f aca="true" t="shared" si="2" ref="I10:P10">I11+I12</f>
        <v>827.6</v>
      </c>
      <c r="J10" s="94">
        <f t="shared" si="2"/>
        <v>18</v>
      </c>
      <c r="K10" s="94">
        <f t="shared" si="2"/>
        <v>6</v>
      </c>
      <c r="L10" s="94">
        <f t="shared" si="2"/>
        <v>12</v>
      </c>
      <c r="M10" s="97">
        <f t="shared" si="2"/>
        <v>827.6</v>
      </c>
      <c r="N10" s="97">
        <f t="shared" si="2"/>
        <v>240.9</v>
      </c>
      <c r="O10" s="146">
        <f t="shared" si="2"/>
        <v>586.7</v>
      </c>
      <c r="P10" s="172">
        <f t="shared" si="2"/>
        <v>16603725</v>
      </c>
      <c r="Q10" s="165">
        <f>P10/100*47.43</f>
        <v>7875146.7675</v>
      </c>
      <c r="R10" s="97">
        <f>R11+R12</f>
        <v>7566317.48</v>
      </c>
      <c r="S10" s="98">
        <f>P10/100*7</f>
        <v>1162260.75</v>
      </c>
      <c r="T10" s="152">
        <f>T11+T12</f>
        <v>19846275</v>
      </c>
    </row>
    <row r="11" spans="1:20" ht="15.75">
      <c r="A11" s="115">
        <v>1</v>
      </c>
      <c r="B11" s="116" t="s">
        <v>34</v>
      </c>
      <c r="C11" s="117">
        <v>134</v>
      </c>
      <c r="D11" s="118">
        <v>40410</v>
      </c>
      <c r="E11" s="182" t="s">
        <v>111</v>
      </c>
      <c r="F11" s="182" t="s">
        <v>111</v>
      </c>
      <c r="G11" s="119">
        <v>21</v>
      </c>
      <c r="H11" s="120">
        <f t="shared" si="1"/>
        <v>21</v>
      </c>
      <c r="I11" s="121">
        <v>347.3</v>
      </c>
      <c r="J11" s="122">
        <v>8</v>
      </c>
      <c r="K11" s="122">
        <v>4</v>
      </c>
      <c r="L11" s="122">
        <v>4</v>
      </c>
      <c r="M11" s="123">
        <v>347.3</v>
      </c>
      <c r="N11" s="124">
        <v>162.4</v>
      </c>
      <c r="O11" s="147">
        <v>184.9</v>
      </c>
      <c r="P11" s="173">
        <f>M11*20062.5</f>
        <v>6967706.25</v>
      </c>
      <c r="Q11" s="166">
        <f>ROUND(P11/100*47.43,2)</f>
        <v>3304783.07</v>
      </c>
      <c r="R11" s="124">
        <f>ROUND(P11/100*45.57,2)</f>
        <v>3175183.74</v>
      </c>
      <c r="S11" s="125">
        <f>P11/100*7</f>
        <v>487739.4375</v>
      </c>
      <c r="T11" s="153">
        <f>вторичка!K6-Лист1!P11</f>
        <v>9648293.75</v>
      </c>
    </row>
    <row r="12" spans="1:20" ht="16.5" thickBot="1">
      <c r="A12" s="129">
        <v>2</v>
      </c>
      <c r="B12" s="130" t="s">
        <v>35</v>
      </c>
      <c r="C12" s="131">
        <v>147</v>
      </c>
      <c r="D12" s="132">
        <v>40515</v>
      </c>
      <c r="E12" s="182" t="s">
        <v>111</v>
      </c>
      <c r="F12" s="182" t="s">
        <v>111</v>
      </c>
      <c r="G12" s="133">
        <v>31</v>
      </c>
      <c r="H12" s="134">
        <f t="shared" si="1"/>
        <v>31</v>
      </c>
      <c r="I12" s="135">
        <v>480.3</v>
      </c>
      <c r="J12" s="136">
        <v>10</v>
      </c>
      <c r="K12" s="136">
        <v>2</v>
      </c>
      <c r="L12" s="136">
        <v>8</v>
      </c>
      <c r="M12" s="137">
        <v>480.3</v>
      </c>
      <c r="N12" s="138">
        <v>78.5</v>
      </c>
      <c r="O12" s="148">
        <v>401.8</v>
      </c>
      <c r="P12" s="174">
        <f>M12*20062.5</f>
        <v>9636018.75</v>
      </c>
      <c r="Q12" s="167">
        <f>ROUND(P12/100*47.43,2)+0.01</f>
        <v>4570363.7</v>
      </c>
      <c r="R12" s="138">
        <f>ROUND(P12/100*45.57,2)</f>
        <v>4391133.74</v>
      </c>
      <c r="S12" s="139">
        <f>P12/100*7</f>
        <v>674521.3125</v>
      </c>
      <c r="T12" s="154">
        <f>вторичка!K15-Лист1!P12</f>
        <v>10197981.25</v>
      </c>
    </row>
    <row r="13" spans="1:20" ht="16.5" thickBot="1">
      <c r="A13" s="126"/>
      <c r="B13" s="127" t="s">
        <v>76</v>
      </c>
      <c r="C13" s="128" t="s">
        <v>26</v>
      </c>
      <c r="D13" s="128" t="s">
        <v>26</v>
      </c>
      <c r="E13" s="128" t="s">
        <v>26</v>
      </c>
      <c r="F13" s="128" t="s">
        <v>26</v>
      </c>
      <c r="G13" s="141">
        <f aca="true" t="shared" si="3" ref="G13:S13">G14+G15+G16+G17+G18+G19+G20+G21+G22+G23+G24+G25</f>
        <v>304</v>
      </c>
      <c r="H13" s="142">
        <f t="shared" si="3"/>
        <v>304</v>
      </c>
      <c r="I13" s="96">
        <f t="shared" si="3"/>
        <v>5499.2</v>
      </c>
      <c r="J13" s="141">
        <f t="shared" si="3"/>
        <v>118</v>
      </c>
      <c r="K13" s="141">
        <f t="shared" si="3"/>
        <v>50</v>
      </c>
      <c r="L13" s="141">
        <f t="shared" si="3"/>
        <v>68</v>
      </c>
      <c r="M13" s="97">
        <f t="shared" si="3"/>
        <v>5334.11</v>
      </c>
      <c r="N13" s="97">
        <f t="shared" si="3"/>
        <v>2129.6</v>
      </c>
      <c r="O13" s="146">
        <f t="shared" si="3"/>
        <v>3204.51</v>
      </c>
      <c r="P13" s="152">
        <f t="shared" si="3"/>
        <v>142687442.5</v>
      </c>
      <c r="Q13" s="165">
        <f t="shared" si="3"/>
        <v>66777723.089999996</v>
      </c>
      <c r="R13" s="97">
        <f t="shared" si="3"/>
        <v>65921598.43000001</v>
      </c>
      <c r="S13" s="98">
        <f t="shared" si="3"/>
        <v>9988120.98</v>
      </c>
      <c r="T13" s="152">
        <f>T14+T15+T16+T17+T18+T19+T20+T21+T22+T23+T24+T25</f>
        <v>51354382.5</v>
      </c>
    </row>
    <row r="14" spans="1:20" ht="15.75">
      <c r="A14" s="115">
        <v>3</v>
      </c>
      <c r="B14" s="116" t="s">
        <v>31</v>
      </c>
      <c r="C14" s="117">
        <v>148</v>
      </c>
      <c r="D14" s="118">
        <v>40515</v>
      </c>
      <c r="E14" s="182" t="s">
        <v>112</v>
      </c>
      <c r="F14" s="182" t="s">
        <v>112</v>
      </c>
      <c r="G14" s="122">
        <v>26</v>
      </c>
      <c r="H14" s="120">
        <f t="shared" si="1"/>
        <v>26</v>
      </c>
      <c r="I14" s="140">
        <v>487.9</v>
      </c>
      <c r="J14" s="122">
        <v>8</v>
      </c>
      <c r="K14" s="122">
        <v>6</v>
      </c>
      <c r="L14" s="122">
        <v>2</v>
      </c>
      <c r="M14" s="124">
        <v>487.9</v>
      </c>
      <c r="N14" s="124">
        <v>359.3</v>
      </c>
      <c r="O14" s="147">
        <v>128.6</v>
      </c>
      <c r="P14" s="173">
        <f>M14*26750</f>
        <v>13051325</v>
      </c>
      <c r="Q14" s="166">
        <f>ROUND(P14*0.468,2)</f>
        <v>6108020.1</v>
      </c>
      <c r="R14" s="124">
        <f>ROUND(P14*0.462,2)</f>
        <v>6029712.15</v>
      </c>
      <c r="S14" s="125">
        <f>ROUND(P14*0.07,2)</f>
        <v>913592.75</v>
      </c>
      <c r="T14" s="153">
        <f>застройщики!I6-Лист1!P14</f>
        <v>2362025</v>
      </c>
    </row>
    <row r="15" spans="1:20" ht="15.75">
      <c r="A15" s="102">
        <v>4</v>
      </c>
      <c r="B15" s="75" t="s">
        <v>32</v>
      </c>
      <c r="C15" s="76">
        <v>159</v>
      </c>
      <c r="D15" s="77">
        <v>40515</v>
      </c>
      <c r="E15" s="182" t="s">
        <v>112</v>
      </c>
      <c r="F15" s="182" t="s">
        <v>112</v>
      </c>
      <c r="G15" s="78">
        <v>30</v>
      </c>
      <c r="H15" s="79">
        <f t="shared" si="1"/>
        <v>30</v>
      </c>
      <c r="I15" s="82">
        <v>518</v>
      </c>
      <c r="J15" s="81">
        <v>14</v>
      </c>
      <c r="K15" s="81">
        <v>4</v>
      </c>
      <c r="L15" s="81">
        <v>10</v>
      </c>
      <c r="M15" s="89">
        <v>518</v>
      </c>
      <c r="N15" s="89">
        <v>136.3</v>
      </c>
      <c r="O15" s="149">
        <v>381.7</v>
      </c>
      <c r="P15" s="156">
        <f aca="true" t="shared" si="4" ref="P15:P25">M15*26750</f>
        <v>13856500</v>
      </c>
      <c r="Q15" s="168">
        <f aca="true" t="shared" si="5" ref="Q15:Q25">ROUND(P15*0.468,2)</f>
        <v>6484842</v>
      </c>
      <c r="R15" s="89">
        <f aca="true" t="shared" si="6" ref="R15:R25">ROUND(P15*0.462,2)</f>
        <v>6401703</v>
      </c>
      <c r="S15" s="103">
        <f aca="true" t="shared" si="7" ref="S15:S25">ROUND(P15*0.07,2)</f>
        <v>969955</v>
      </c>
      <c r="T15" s="155">
        <f>застройщики!I15-Лист1!P15</f>
        <v>5649600</v>
      </c>
    </row>
    <row r="16" spans="1:20" s="13" customFormat="1" ht="15.75">
      <c r="A16" s="104">
        <v>5</v>
      </c>
      <c r="B16" s="83" t="s">
        <v>33</v>
      </c>
      <c r="C16" s="84">
        <v>158</v>
      </c>
      <c r="D16" s="85">
        <v>40515</v>
      </c>
      <c r="E16" s="182" t="s">
        <v>112</v>
      </c>
      <c r="F16" s="182" t="s">
        <v>112</v>
      </c>
      <c r="G16" s="86">
        <v>28</v>
      </c>
      <c r="H16" s="79">
        <f t="shared" si="1"/>
        <v>28</v>
      </c>
      <c r="I16" s="80">
        <v>524.8</v>
      </c>
      <c r="J16" s="87">
        <v>15</v>
      </c>
      <c r="K16" s="87">
        <v>9</v>
      </c>
      <c r="L16" s="87">
        <v>6</v>
      </c>
      <c r="M16" s="88">
        <f>524.8</f>
        <v>524.8</v>
      </c>
      <c r="N16" s="88">
        <v>325.3</v>
      </c>
      <c r="O16" s="158">
        <f>199.5</f>
        <v>199.5</v>
      </c>
      <c r="P16" s="156">
        <f t="shared" si="4"/>
        <v>14038399.999999998</v>
      </c>
      <c r="Q16" s="168">
        <f t="shared" si="5"/>
        <v>6569971.2</v>
      </c>
      <c r="R16" s="89">
        <f t="shared" si="6"/>
        <v>6485740.8</v>
      </c>
      <c r="S16" s="103">
        <f t="shared" si="7"/>
        <v>982688</v>
      </c>
      <c r="T16" s="156">
        <f>застройщики!I30-Лист1!P16</f>
        <v>5502475.000000002</v>
      </c>
    </row>
    <row r="17" spans="1:20" s="13" customFormat="1" ht="15.75">
      <c r="A17" s="104">
        <v>6</v>
      </c>
      <c r="B17" s="175" t="s">
        <v>36</v>
      </c>
      <c r="C17" s="176">
        <v>142</v>
      </c>
      <c r="D17" s="177">
        <v>40515</v>
      </c>
      <c r="E17" s="182" t="s">
        <v>112</v>
      </c>
      <c r="F17" s="182" t="s">
        <v>112</v>
      </c>
      <c r="G17" s="86">
        <v>30</v>
      </c>
      <c r="H17" s="79">
        <f t="shared" si="1"/>
        <v>30</v>
      </c>
      <c r="I17" s="80">
        <v>490.2</v>
      </c>
      <c r="J17" s="87">
        <v>8</v>
      </c>
      <c r="K17" s="87">
        <v>1</v>
      </c>
      <c r="L17" s="87">
        <v>7</v>
      </c>
      <c r="M17" s="88">
        <f>490.2-16.8</f>
        <v>473.4</v>
      </c>
      <c r="N17" s="88">
        <v>55.2</v>
      </c>
      <c r="O17" s="158">
        <v>418.2</v>
      </c>
      <c r="P17" s="156">
        <f t="shared" si="4"/>
        <v>12663450</v>
      </c>
      <c r="Q17" s="168">
        <f t="shared" si="5"/>
        <v>5926494.6</v>
      </c>
      <c r="R17" s="89">
        <f t="shared" si="6"/>
        <v>5850513.9</v>
      </c>
      <c r="S17" s="103">
        <f t="shared" si="7"/>
        <v>886441.5</v>
      </c>
      <c r="T17" s="156">
        <f>застройщики!I46-Лист1!P17</f>
        <v>2260375</v>
      </c>
    </row>
    <row r="18" spans="1:20" s="13" customFormat="1" ht="15.75">
      <c r="A18" s="104">
        <v>7</v>
      </c>
      <c r="B18" s="175" t="s">
        <v>37</v>
      </c>
      <c r="C18" s="176">
        <v>143</v>
      </c>
      <c r="D18" s="177">
        <v>40515</v>
      </c>
      <c r="E18" s="182" t="s">
        <v>112</v>
      </c>
      <c r="F18" s="182" t="s">
        <v>112</v>
      </c>
      <c r="G18" s="86">
        <v>17</v>
      </c>
      <c r="H18" s="79">
        <f t="shared" si="1"/>
        <v>17</v>
      </c>
      <c r="I18" s="80">
        <v>400.9</v>
      </c>
      <c r="J18" s="87">
        <v>8</v>
      </c>
      <c r="K18" s="87">
        <v>5</v>
      </c>
      <c r="L18" s="87">
        <v>3</v>
      </c>
      <c r="M18" s="88">
        <f>400.9-44.6</f>
        <v>356.29999999999995</v>
      </c>
      <c r="N18" s="88">
        <v>255.9</v>
      </c>
      <c r="O18" s="158">
        <v>100.4</v>
      </c>
      <c r="P18" s="156">
        <f t="shared" si="4"/>
        <v>9531024.999999998</v>
      </c>
      <c r="Q18" s="168">
        <f t="shared" si="5"/>
        <v>4460519.7</v>
      </c>
      <c r="R18" s="89">
        <f t="shared" si="6"/>
        <v>4403333.55</v>
      </c>
      <c r="S18" s="103">
        <f t="shared" si="7"/>
        <v>667171.75</v>
      </c>
      <c r="T18" s="156">
        <f>застройщики!I55-Лист1!P18</f>
        <v>4344200.000000002</v>
      </c>
    </row>
    <row r="19" spans="1:20" ht="15.75">
      <c r="A19" s="102">
        <v>8</v>
      </c>
      <c r="B19" s="178" t="s">
        <v>38</v>
      </c>
      <c r="C19" s="179">
        <v>144</v>
      </c>
      <c r="D19" s="180">
        <v>40515</v>
      </c>
      <c r="E19" s="182" t="s">
        <v>112</v>
      </c>
      <c r="F19" s="182" t="s">
        <v>112</v>
      </c>
      <c r="G19" s="78">
        <v>30</v>
      </c>
      <c r="H19" s="79">
        <f t="shared" si="1"/>
        <v>30</v>
      </c>
      <c r="I19" s="80">
        <v>489.3</v>
      </c>
      <c r="J19" s="81">
        <v>10</v>
      </c>
      <c r="K19" s="81">
        <v>1</v>
      </c>
      <c r="L19" s="81">
        <v>9</v>
      </c>
      <c r="M19" s="88">
        <v>489.3</v>
      </c>
      <c r="N19" s="89">
        <v>26.1</v>
      </c>
      <c r="O19" s="149">
        <v>463.2</v>
      </c>
      <c r="P19" s="156">
        <f t="shared" si="4"/>
        <v>13088775</v>
      </c>
      <c r="Q19" s="168">
        <f t="shared" si="5"/>
        <v>6125546.7</v>
      </c>
      <c r="R19" s="89">
        <f t="shared" si="6"/>
        <v>6047014.05</v>
      </c>
      <c r="S19" s="103">
        <f t="shared" si="7"/>
        <v>916214.25</v>
      </c>
      <c r="T19" s="156">
        <f>застройщики!I64-Лист1!P19</f>
        <v>3330375</v>
      </c>
    </row>
    <row r="20" spans="1:20" s="13" customFormat="1" ht="15.75">
      <c r="A20" s="104">
        <v>9</v>
      </c>
      <c r="B20" s="175" t="s">
        <v>39</v>
      </c>
      <c r="C20" s="176">
        <v>145</v>
      </c>
      <c r="D20" s="177">
        <v>40515</v>
      </c>
      <c r="E20" s="182" t="s">
        <v>112</v>
      </c>
      <c r="F20" s="182" t="s">
        <v>112</v>
      </c>
      <c r="G20" s="86">
        <v>23</v>
      </c>
      <c r="H20" s="79">
        <f t="shared" si="1"/>
        <v>23</v>
      </c>
      <c r="I20" s="80">
        <v>492.6</v>
      </c>
      <c r="J20" s="87">
        <v>9</v>
      </c>
      <c r="K20" s="87">
        <v>3</v>
      </c>
      <c r="L20" s="87">
        <v>6</v>
      </c>
      <c r="M20" s="88">
        <f>492.6-39</f>
        <v>453.6</v>
      </c>
      <c r="N20" s="88">
        <v>119.2</v>
      </c>
      <c r="O20" s="158">
        <v>334.4</v>
      </c>
      <c r="P20" s="156">
        <f t="shared" si="4"/>
        <v>12133800</v>
      </c>
      <c r="Q20" s="168">
        <f t="shared" si="5"/>
        <v>5678618.4</v>
      </c>
      <c r="R20" s="89">
        <f t="shared" si="6"/>
        <v>5605815.6</v>
      </c>
      <c r="S20" s="103">
        <f t="shared" si="7"/>
        <v>849366</v>
      </c>
      <c r="T20" s="156">
        <f>застройщики!I75-Лист1!P20</f>
        <v>2661625</v>
      </c>
    </row>
    <row r="21" spans="1:20" ht="15.75">
      <c r="A21" s="102">
        <v>10</v>
      </c>
      <c r="B21" s="178" t="s">
        <v>40</v>
      </c>
      <c r="C21" s="179">
        <v>146</v>
      </c>
      <c r="D21" s="180">
        <v>40515</v>
      </c>
      <c r="E21" s="182" t="s">
        <v>112</v>
      </c>
      <c r="F21" s="182" t="s">
        <v>112</v>
      </c>
      <c r="G21" s="78">
        <v>22</v>
      </c>
      <c r="H21" s="79">
        <f t="shared" si="1"/>
        <v>22</v>
      </c>
      <c r="I21" s="80">
        <v>355.6</v>
      </c>
      <c r="J21" s="81">
        <v>7</v>
      </c>
      <c r="K21" s="81">
        <v>1</v>
      </c>
      <c r="L21" s="81">
        <v>6</v>
      </c>
      <c r="M21" s="88">
        <f>355.6</f>
        <v>355.6</v>
      </c>
      <c r="N21" s="89">
        <v>44.1</v>
      </c>
      <c r="O21" s="149">
        <v>311.5</v>
      </c>
      <c r="P21" s="156">
        <f t="shared" si="4"/>
        <v>9512300</v>
      </c>
      <c r="Q21" s="168">
        <f t="shared" si="5"/>
        <v>4451756.4</v>
      </c>
      <c r="R21" s="89">
        <f t="shared" si="6"/>
        <v>4394682.6</v>
      </c>
      <c r="S21" s="103">
        <f t="shared" si="7"/>
        <v>665861</v>
      </c>
      <c r="T21" s="156">
        <f>застройщики!I85-Лист1!P21</f>
        <v>4734750</v>
      </c>
    </row>
    <row r="22" spans="1:20" s="13" customFormat="1" ht="15.75">
      <c r="A22" s="104">
        <v>11</v>
      </c>
      <c r="B22" s="83" t="s">
        <v>41</v>
      </c>
      <c r="C22" s="84">
        <v>172</v>
      </c>
      <c r="D22" s="85">
        <v>40725</v>
      </c>
      <c r="E22" s="182" t="s">
        <v>112</v>
      </c>
      <c r="F22" s="182" t="s">
        <v>112</v>
      </c>
      <c r="G22" s="86">
        <v>29</v>
      </c>
      <c r="H22" s="79">
        <f t="shared" si="1"/>
        <v>29</v>
      </c>
      <c r="I22" s="80">
        <v>393.1</v>
      </c>
      <c r="J22" s="87">
        <v>8</v>
      </c>
      <c r="K22" s="87">
        <v>1</v>
      </c>
      <c r="L22" s="87">
        <v>7</v>
      </c>
      <c r="M22" s="88">
        <f>393.1-15.3</f>
        <v>377.8</v>
      </c>
      <c r="N22" s="88">
        <v>43.9</v>
      </c>
      <c r="O22" s="158">
        <v>333.9</v>
      </c>
      <c r="P22" s="156">
        <f t="shared" si="4"/>
        <v>10106150</v>
      </c>
      <c r="Q22" s="168">
        <f t="shared" si="5"/>
        <v>4729678.2</v>
      </c>
      <c r="R22" s="89">
        <f t="shared" si="6"/>
        <v>4669041.3</v>
      </c>
      <c r="S22" s="103">
        <f t="shared" si="7"/>
        <v>707430.5</v>
      </c>
      <c r="T22" s="156">
        <f>застройщики!I93-Лист1!P22</f>
        <v>5550625</v>
      </c>
    </row>
    <row r="23" spans="1:20" s="13" customFormat="1" ht="15.75">
      <c r="A23" s="104">
        <v>12</v>
      </c>
      <c r="B23" s="83" t="s">
        <v>78</v>
      </c>
      <c r="C23" s="84">
        <v>176</v>
      </c>
      <c r="D23" s="85">
        <v>40752</v>
      </c>
      <c r="E23" s="182" t="s">
        <v>112</v>
      </c>
      <c r="F23" s="182" t="s">
        <v>112</v>
      </c>
      <c r="G23" s="86">
        <f>33-5</f>
        <v>28</v>
      </c>
      <c r="H23" s="79">
        <f t="shared" si="1"/>
        <v>28</v>
      </c>
      <c r="I23" s="80">
        <f>610.7</f>
        <v>610.7</v>
      </c>
      <c r="J23" s="87">
        <f>13-1</f>
        <v>12</v>
      </c>
      <c r="K23" s="87">
        <v>8</v>
      </c>
      <c r="L23" s="87">
        <f>5-1</f>
        <v>4</v>
      </c>
      <c r="M23" s="88">
        <f>610.7-23.99</f>
        <v>586.71</v>
      </c>
      <c r="N23" s="88">
        <v>393.3</v>
      </c>
      <c r="O23" s="158">
        <f>217.4-23.99</f>
        <v>193.41</v>
      </c>
      <c r="P23" s="156">
        <f>(M23*26750)</f>
        <v>15694492.500000002</v>
      </c>
      <c r="Q23" s="168">
        <f t="shared" si="5"/>
        <v>7345022.49</v>
      </c>
      <c r="R23" s="89">
        <f>ROUND(P23*0.462,2)-0.01</f>
        <v>7250855.53</v>
      </c>
      <c r="S23" s="103">
        <f t="shared" si="7"/>
        <v>1098614.48</v>
      </c>
      <c r="T23" s="156">
        <f>застройщики!I103-Лист1!P23</f>
        <v>4608757.499999998</v>
      </c>
    </row>
    <row r="24" spans="1:20" s="13" customFormat="1" ht="18.75" customHeight="1">
      <c r="A24" s="104">
        <v>13</v>
      </c>
      <c r="B24" s="83" t="s">
        <v>43</v>
      </c>
      <c r="C24" s="84">
        <v>181</v>
      </c>
      <c r="D24" s="85">
        <v>40837</v>
      </c>
      <c r="E24" s="182" t="s">
        <v>112</v>
      </c>
      <c r="F24" s="182" t="s">
        <v>112</v>
      </c>
      <c r="G24" s="86">
        <v>14</v>
      </c>
      <c r="H24" s="79">
        <f t="shared" si="1"/>
        <v>14</v>
      </c>
      <c r="I24" s="80">
        <v>253.5</v>
      </c>
      <c r="J24" s="87">
        <v>8</v>
      </c>
      <c r="K24" s="87">
        <v>5</v>
      </c>
      <c r="L24" s="87">
        <v>3</v>
      </c>
      <c r="M24" s="88">
        <v>253.5</v>
      </c>
      <c r="N24" s="88">
        <v>150.1</v>
      </c>
      <c r="O24" s="158">
        <v>103.4</v>
      </c>
      <c r="P24" s="156">
        <f t="shared" si="4"/>
        <v>6781125</v>
      </c>
      <c r="Q24" s="168">
        <f t="shared" si="5"/>
        <v>3173566.5</v>
      </c>
      <c r="R24" s="89">
        <f t="shared" si="6"/>
        <v>3132879.75</v>
      </c>
      <c r="S24" s="103">
        <f t="shared" si="7"/>
        <v>474678.75</v>
      </c>
      <c r="T24" s="156">
        <f>застройщики!I116-Лист1!P24</f>
        <v>4681250</v>
      </c>
    </row>
    <row r="25" spans="1:20" s="13" customFormat="1" ht="16.5" thickBot="1">
      <c r="A25" s="105">
        <v>14</v>
      </c>
      <c r="B25" s="106" t="s">
        <v>44</v>
      </c>
      <c r="C25" s="107">
        <v>174</v>
      </c>
      <c r="D25" s="108">
        <v>40752</v>
      </c>
      <c r="E25" s="184" t="s">
        <v>112</v>
      </c>
      <c r="F25" s="184" t="s">
        <v>112</v>
      </c>
      <c r="G25" s="109">
        <v>27</v>
      </c>
      <c r="H25" s="110">
        <f t="shared" si="1"/>
        <v>27</v>
      </c>
      <c r="I25" s="111">
        <v>482.6</v>
      </c>
      <c r="J25" s="112">
        <v>11</v>
      </c>
      <c r="K25" s="112">
        <v>6</v>
      </c>
      <c r="L25" s="112">
        <v>5</v>
      </c>
      <c r="M25" s="113">
        <f>482.6-25.4</f>
        <v>457.20000000000005</v>
      </c>
      <c r="N25" s="113">
        <v>220.9</v>
      </c>
      <c r="O25" s="159">
        <v>236.3</v>
      </c>
      <c r="P25" s="157">
        <f t="shared" si="4"/>
        <v>12230100.000000002</v>
      </c>
      <c r="Q25" s="169">
        <f t="shared" si="5"/>
        <v>5723686.8</v>
      </c>
      <c r="R25" s="114">
        <f t="shared" si="6"/>
        <v>5650306.2</v>
      </c>
      <c r="S25" s="161">
        <f t="shared" si="7"/>
        <v>856107</v>
      </c>
      <c r="T25" s="157">
        <f>застройщики!I125-Лист1!P25</f>
        <v>5668324.999999998</v>
      </c>
    </row>
    <row r="26" spans="17:18" ht="12.75">
      <c r="Q26" s="52"/>
      <c r="R26" s="59"/>
    </row>
    <row r="27" ht="12.75">
      <c r="S27" s="90"/>
    </row>
    <row r="28" ht="12.75">
      <c r="S28" s="90"/>
    </row>
    <row r="29" ht="12.75">
      <c r="S29" s="90"/>
    </row>
    <row r="48" ht="12.75">
      <c r="E48" s="183"/>
    </row>
  </sheetData>
  <sheetProtection/>
  <mergeCells count="23">
    <mergeCell ref="N1:T2"/>
    <mergeCell ref="E4:E7"/>
    <mergeCell ref="H4:H6"/>
    <mergeCell ref="I4:I6"/>
    <mergeCell ref="A3:T3"/>
    <mergeCell ref="A4:A7"/>
    <mergeCell ref="B4:B7"/>
    <mergeCell ref="J4:L4"/>
    <mergeCell ref="J5:J6"/>
    <mergeCell ref="K5:L5"/>
    <mergeCell ref="A9:B9"/>
    <mergeCell ref="F4:F7"/>
    <mergeCell ref="G4:G6"/>
    <mergeCell ref="C6:C7"/>
    <mergeCell ref="D6:D7"/>
    <mergeCell ref="C4:D5"/>
    <mergeCell ref="T4:T6"/>
    <mergeCell ref="M4:O4"/>
    <mergeCell ref="M5:M6"/>
    <mergeCell ref="N5:O5"/>
    <mergeCell ref="P4:S4"/>
    <mergeCell ref="P5:P6"/>
    <mergeCell ref="Q5:S5"/>
  </mergeCells>
  <printOptions horizontalCentered="1"/>
  <pageMargins left="0.7086614173228347" right="0.7086614173228347" top="0.984251968503937" bottom="0.984251968503937" header="0.5118110236220472" footer="0.5118110236220472"/>
  <pageSetup fitToHeight="3" fitToWidth="1" horizontalDpi="600" verticalDpi="600" orientation="landscape" paperSize="9" scale="48" r:id="rId1"/>
  <headerFooter alignWithMargins="0">
    <oddFooter>&amp;L______________________________________________________________________________________________________________________________________
Приложение 1&amp;R
&amp;P стр из &amp;N</oddFooter>
  </headerFooter>
  <ignoredErrors>
    <ignoredError sqref="Q10:S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="90" zoomScaleNormal="90" zoomScalePageLayoutView="0" workbookViewId="0" topLeftCell="A1">
      <pane xSplit="2" topLeftCell="J1" activePane="topRight" state="frozen"/>
      <selection pane="topLeft" activeCell="A1" sqref="A1"/>
      <selection pane="topRight" activeCell="T16" sqref="T16:T29"/>
    </sheetView>
  </sheetViews>
  <sheetFormatPr defaultColWidth="9.00390625" defaultRowHeight="12.75"/>
  <cols>
    <col min="1" max="1" width="6.00390625" style="0" customWidth="1"/>
    <col min="2" max="2" width="39.375" style="0" customWidth="1"/>
    <col min="3" max="3" width="9.75390625" style="0" customWidth="1"/>
    <col min="4" max="6" width="11.75390625" style="0" customWidth="1"/>
    <col min="7" max="7" width="12.75390625" style="0" customWidth="1"/>
    <col min="8" max="8" width="9.75390625" style="0" customWidth="1"/>
    <col min="9" max="9" width="16.25390625" style="0" customWidth="1"/>
    <col min="10" max="10" width="9.875" style="0" customWidth="1"/>
    <col min="11" max="11" width="9.75390625" style="0" customWidth="1"/>
    <col min="12" max="12" width="15.75390625" style="0" customWidth="1"/>
    <col min="13" max="13" width="12.75390625" style="0" customWidth="1"/>
    <col min="14" max="14" width="12.125" style="0" customWidth="1"/>
    <col min="15" max="15" width="11.125" style="0" customWidth="1"/>
    <col min="16" max="16" width="10.75390625" style="0" customWidth="1"/>
    <col min="17" max="17" width="16.25390625" style="0" customWidth="1"/>
    <col min="18" max="18" width="15.375" style="0" bestFit="1" customWidth="1"/>
    <col min="19" max="20" width="11.875" style="0" bestFit="1" customWidth="1"/>
    <col min="21" max="21" width="0" style="0" hidden="1" customWidth="1"/>
  </cols>
  <sheetData>
    <row r="1" spans="17:20" ht="22.5" customHeight="1">
      <c r="Q1" s="207" t="s">
        <v>107</v>
      </c>
      <c r="R1" s="207"/>
      <c r="S1" s="207"/>
      <c r="T1" s="207"/>
    </row>
    <row r="2" spans="17:20" ht="33.75" customHeight="1">
      <c r="Q2" s="207"/>
      <c r="R2" s="207"/>
      <c r="S2" s="207"/>
      <c r="T2" s="207"/>
    </row>
    <row r="4" spans="1:17" ht="18.75">
      <c r="A4" s="213" t="s">
        <v>63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7" spans="1:21" ht="60">
      <c r="A7" s="217" t="s">
        <v>0</v>
      </c>
      <c r="B7" s="217" t="s">
        <v>62</v>
      </c>
      <c r="C7" s="217" t="s">
        <v>61</v>
      </c>
      <c r="D7" s="191"/>
      <c r="E7" s="217" t="s">
        <v>60</v>
      </c>
      <c r="F7" s="191"/>
      <c r="G7" s="191"/>
      <c r="H7" s="215" t="s">
        <v>59</v>
      </c>
      <c r="I7" s="191"/>
      <c r="J7" s="191"/>
      <c r="K7" s="215" t="s">
        <v>58</v>
      </c>
      <c r="L7" s="191"/>
      <c r="M7" s="191"/>
      <c r="N7" s="215" t="s">
        <v>57</v>
      </c>
      <c r="O7" s="191"/>
      <c r="P7" s="191"/>
      <c r="Q7" s="214" t="s">
        <v>56</v>
      </c>
      <c r="R7" s="214" t="s">
        <v>55</v>
      </c>
      <c r="S7" s="214" t="s">
        <v>54</v>
      </c>
      <c r="T7" s="214" t="s">
        <v>53</v>
      </c>
      <c r="U7" s="9" t="s">
        <v>52</v>
      </c>
    </row>
    <row r="8" spans="1:20" ht="12.7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</row>
    <row r="9" spans="1:21" ht="120">
      <c r="A9" s="191"/>
      <c r="B9" s="191"/>
      <c r="C9" s="214" t="s">
        <v>9</v>
      </c>
      <c r="D9" s="214" t="s">
        <v>51</v>
      </c>
      <c r="E9" s="214" t="s">
        <v>50</v>
      </c>
      <c r="F9" s="214" t="s">
        <v>49</v>
      </c>
      <c r="G9" s="214" t="s">
        <v>48</v>
      </c>
      <c r="H9" s="214" t="s">
        <v>50</v>
      </c>
      <c r="I9" s="214" t="s">
        <v>49</v>
      </c>
      <c r="J9" s="214" t="s">
        <v>48</v>
      </c>
      <c r="K9" s="214" t="s">
        <v>50</v>
      </c>
      <c r="L9" s="214" t="s">
        <v>49</v>
      </c>
      <c r="M9" s="214" t="s">
        <v>48</v>
      </c>
      <c r="N9" s="214" t="s">
        <v>50</v>
      </c>
      <c r="O9" s="214" t="s">
        <v>49</v>
      </c>
      <c r="P9" s="214" t="s">
        <v>48</v>
      </c>
      <c r="Q9" s="191"/>
      <c r="R9" s="191"/>
      <c r="S9" s="191"/>
      <c r="T9" s="191"/>
      <c r="U9" s="9" t="s">
        <v>47</v>
      </c>
    </row>
    <row r="10" spans="1:21" ht="36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9" t="s">
        <v>25</v>
      </c>
    </row>
    <row r="11" spans="1:20" ht="15">
      <c r="A11" s="6"/>
      <c r="B11" s="6"/>
      <c r="C11" s="5" t="s">
        <v>46</v>
      </c>
      <c r="D11" s="5" t="s">
        <v>46</v>
      </c>
      <c r="E11" s="5" t="s">
        <v>46</v>
      </c>
      <c r="F11" s="5" t="s">
        <v>17</v>
      </c>
      <c r="G11" s="5" t="s">
        <v>17</v>
      </c>
      <c r="H11" s="5" t="s">
        <v>46</v>
      </c>
      <c r="I11" s="5" t="s">
        <v>17</v>
      </c>
      <c r="J11" s="5" t="s">
        <v>17</v>
      </c>
      <c r="K11" s="5" t="s">
        <v>46</v>
      </c>
      <c r="L11" s="5" t="s">
        <v>17</v>
      </c>
      <c r="M11" s="5" t="s">
        <v>17</v>
      </c>
      <c r="N11" s="5" t="s">
        <v>46</v>
      </c>
      <c r="O11" s="5" t="s">
        <v>17</v>
      </c>
      <c r="P11" s="5" t="s">
        <v>17</v>
      </c>
      <c r="Q11" s="5" t="s">
        <v>17</v>
      </c>
      <c r="R11" s="5" t="s">
        <v>17</v>
      </c>
      <c r="S11" s="5" t="s">
        <v>17</v>
      </c>
      <c r="T11" s="5" t="s">
        <v>17</v>
      </c>
    </row>
    <row r="12" spans="1:20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</row>
    <row r="13" spans="1:20" ht="12.75">
      <c r="A13" s="216" t="s">
        <v>77</v>
      </c>
      <c r="B13" s="216"/>
      <c r="C13" s="17">
        <f>C14+C17</f>
        <v>6161.71</v>
      </c>
      <c r="D13" s="17">
        <f>D14+D17</f>
        <v>2370.4</v>
      </c>
      <c r="E13" s="8"/>
      <c r="F13" s="8"/>
      <c r="G13" s="8"/>
      <c r="H13" s="63">
        <f>H14+H17</f>
        <v>5334.11</v>
      </c>
      <c r="I13" s="63">
        <f>I14+I17</f>
        <v>142687442.5</v>
      </c>
      <c r="J13" s="63"/>
      <c r="K13" s="63">
        <f>K14+K17</f>
        <v>827.6</v>
      </c>
      <c r="L13" s="64">
        <f>L14+L17</f>
        <v>16603725</v>
      </c>
      <c r="M13" s="63"/>
      <c r="N13" s="63"/>
      <c r="O13" s="63"/>
      <c r="P13" s="63"/>
      <c r="Q13" s="63">
        <f>Лист1!P9</f>
        <v>159291167.5</v>
      </c>
      <c r="R13" s="63">
        <f>Лист1!T9</f>
        <v>71200657.5</v>
      </c>
      <c r="S13" s="63">
        <v>26750</v>
      </c>
      <c r="T13" s="63"/>
    </row>
    <row r="14" spans="1:20" s="56" customFormat="1" ht="12.75">
      <c r="A14" s="54"/>
      <c r="B14" s="55" t="s">
        <v>75</v>
      </c>
      <c r="C14" s="18">
        <f>C15+C16</f>
        <v>827.6</v>
      </c>
      <c r="D14" s="18">
        <f>D15+D16</f>
        <v>240.9</v>
      </c>
      <c r="E14" s="54"/>
      <c r="F14" s="54"/>
      <c r="G14" s="54"/>
      <c r="H14" s="65"/>
      <c r="I14" s="65"/>
      <c r="J14" s="65"/>
      <c r="K14" s="66">
        <f>K15+K16</f>
        <v>827.6</v>
      </c>
      <c r="L14" s="66">
        <f>L15+L16</f>
        <v>16603725</v>
      </c>
      <c r="M14" s="67" t="s">
        <v>99</v>
      </c>
      <c r="N14" s="65"/>
      <c r="O14" s="65"/>
      <c r="P14" s="65"/>
      <c r="Q14" s="63">
        <f>Лист1!P10</f>
        <v>16603725</v>
      </c>
      <c r="R14" s="63">
        <f>Лист1!T10</f>
        <v>19846275</v>
      </c>
      <c r="S14" s="66">
        <v>26750</v>
      </c>
      <c r="T14" s="66">
        <f>S14/4*3</f>
        <v>20062.5</v>
      </c>
    </row>
    <row r="15" spans="1:20" s="13" customFormat="1" ht="12.75">
      <c r="A15" s="14"/>
      <c r="B15" s="12" t="s">
        <v>34</v>
      </c>
      <c r="C15" s="16">
        <v>347.3</v>
      </c>
      <c r="D15" s="16">
        <v>162.4</v>
      </c>
      <c r="E15" s="14"/>
      <c r="F15" s="14"/>
      <c r="G15" s="14"/>
      <c r="H15" s="68"/>
      <c r="I15" s="68"/>
      <c r="J15" s="68"/>
      <c r="K15" s="69">
        <f>вторичка!D6</f>
        <v>347.3</v>
      </c>
      <c r="L15" s="70">
        <f>Лист1!P11</f>
        <v>6967706.25</v>
      </c>
      <c r="M15" s="69">
        <f>L15/K15</f>
        <v>20062.5</v>
      </c>
      <c r="N15" s="68"/>
      <c r="O15" s="68"/>
      <c r="P15" s="68"/>
      <c r="Q15" s="63">
        <f>Лист1!P11</f>
        <v>6967706.25</v>
      </c>
      <c r="R15" s="63">
        <f>Лист1!T11</f>
        <v>9648293.75</v>
      </c>
      <c r="S15" s="69">
        <v>26750</v>
      </c>
      <c r="T15" s="69">
        <f>S15/4*3</f>
        <v>20062.5</v>
      </c>
    </row>
    <row r="16" spans="1:20" s="13" customFormat="1" ht="12.75">
      <c r="A16" s="14"/>
      <c r="B16" s="12" t="s">
        <v>35</v>
      </c>
      <c r="C16" s="16">
        <v>480.3</v>
      </c>
      <c r="D16" s="16">
        <v>78.5</v>
      </c>
      <c r="E16" s="14"/>
      <c r="F16" s="14"/>
      <c r="G16" s="14"/>
      <c r="H16" s="68"/>
      <c r="I16" s="68"/>
      <c r="J16" s="68"/>
      <c r="K16" s="69">
        <f>вторичка!D15</f>
        <v>480.3</v>
      </c>
      <c r="L16" s="70">
        <f>Лист1!P12</f>
        <v>9636018.75</v>
      </c>
      <c r="M16" s="69">
        <f>L16/K16</f>
        <v>20062.5</v>
      </c>
      <c r="N16" s="68"/>
      <c r="O16" s="68"/>
      <c r="P16" s="68"/>
      <c r="Q16" s="63">
        <f>Лист1!P12</f>
        <v>9636018.75</v>
      </c>
      <c r="R16" s="63">
        <f>Лист1!T12</f>
        <v>10197981.25</v>
      </c>
      <c r="S16" s="69">
        <v>26750</v>
      </c>
      <c r="T16" s="69">
        <f>S16/4*3</f>
        <v>20062.5</v>
      </c>
    </row>
    <row r="17" spans="1:20" s="56" customFormat="1" ht="12.75">
      <c r="A17" s="54"/>
      <c r="B17" s="55" t="s">
        <v>76</v>
      </c>
      <c r="C17" s="18">
        <f>C18+C19+C20+C21+C22+C23+C24+C25+C26+C27+C28+C29</f>
        <v>5334.11</v>
      </c>
      <c r="D17" s="18">
        <f>D18+D19+D20+D21+D22+D23+D24+D25+D26+D27+D28+D29</f>
        <v>2129.5</v>
      </c>
      <c r="E17" s="54"/>
      <c r="F17" s="54"/>
      <c r="G17" s="54"/>
      <c r="H17" s="71">
        <f>H18+H19+H20+H21+H22+H23+H24+H25+H26+H27+H28+H29</f>
        <v>5334.11</v>
      </c>
      <c r="I17" s="71">
        <f>I18+I19+I20+I21+I22+I23+I24+I25+I26+I27+I28+I29</f>
        <v>142687442.5</v>
      </c>
      <c r="J17" s="72" t="s">
        <v>99</v>
      </c>
      <c r="K17" s="66"/>
      <c r="L17" s="73"/>
      <c r="M17" s="63"/>
      <c r="N17" s="65"/>
      <c r="O17" s="65"/>
      <c r="P17" s="65"/>
      <c r="Q17" s="63">
        <f>Лист1!P13</f>
        <v>142687442.5</v>
      </c>
      <c r="R17" s="63">
        <f>Лист1!T13</f>
        <v>51354382.5</v>
      </c>
      <c r="S17" s="66">
        <v>26750</v>
      </c>
      <c r="T17" s="69">
        <f aca="true" t="shared" si="0" ref="T17:T29">S17/4*3</f>
        <v>20062.5</v>
      </c>
    </row>
    <row r="18" spans="1:20" s="13" customFormat="1" ht="12.75">
      <c r="A18" s="14"/>
      <c r="B18" s="12" t="s">
        <v>31</v>
      </c>
      <c r="C18" s="16">
        <v>487.9</v>
      </c>
      <c r="D18" s="16">
        <v>359.3</v>
      </c>
      <c r="E18" s="14"/>
      <c r="F18" s="14"/>
      <c r="G18" s="14"/>
      <c r="H18" s="74">
        <f>C18</f>
        <v>487.9</v>
      </c>
      <c r="I18" s="74">
        <f>H18*J18</f>
        <v>13051325</v>
      </c>
      <c r="J18" s="74">
        <v>26750</v>
      </c>
      <c r="K18" s="69"/>
      <c r="L18" s="70"/>
      <c r="M18" s="69"/>
      <c r="N18" s="68"/>
      <c r="O18" s="68"/>
      <c r="P18" s="68"/>
      <c r="Q18" s="63">
        <f>Лист1!P14</f>
        <v>13051325</v>
      </c>
      <c r="R18" s="63">
        <f>Лист1!T14</f>
        <v>2362025</v>
      </c>
      <c r="S18" s="69">
        <v>26750</v>
      </c>
      <c r="T18" s="69">
        <f t="shared" si="0"/>
        <v>20062.5</v>
      </c>
    </row>
    <row r="19" spans="1:20" s="13" customFormat="1" ht="12.75">
      <c r="A19" s="14"/>
      <c r="B19" s="12" t="s">
        <v>32</v>
      </c>
      <c r="C19" s="16">
        <v>518</v>
      </c>
      <c r="D19" s="16">
        <v>136.3</v>
      </c>
      <c r="E19" s="14"/>
      <c r="F19" s="14"/>
      <c r="G19" s="14"/>
      <c r="H19" s="74">
        <f aca="true" t="shared" si="1" ref="H19:H29">C19</f>
        <v>518</v>
      </c>
      <c r="I19" s="74">
        <f aca="true" t="shared" si="2" ref="I19:I29">H19*J19</f>
        <v>13856500</v>
      </c>
      <c r="J19" s="74">
        <v>26750</v>
      </c>
      <c r="K19" s="69"/>
      <c r="L19" s="70"/>
      <c r="M19" s="69"/>
      <c r="N19" s="68"/>
      <c r="O19" s="68"/>
      <c r="P19" s="68"/>
      <c r="Q19" s="63">
        <f>Лист1!P15</f>
        <v>13856500</v>
      </c>
      <c r="R19" s="63">
        <f>Лист1!T15</f>
        <v>5649600</v>
      </c>
      <c r="S19" s="69">
        <v>26750</v>
      </c>
      <c r="T19" s="69">
        <f t="shared" si="0"/>
        <v>20062.5</v>
      </c>
    </row>
    <row r="20" spans="1:20" s="13" customFormat="1" ht="12.75">
      <c r="A20" s="14"/>
      <c r="B20" s="12" t="s">
        <v>33</v>
      </c>
      <c r="C20" s="16">
        <f>524.8</f>
        <v>524.8</v>
      </c>
      <c r="D20" s="16">
        <v>325.3</v>
      </c>
      <c r="E20" s="14"/>
      <c r="F20" s="14"/>
      <c r="G20" s="14"/>
      <c r="H20" s="74">
        <f t="shared" si="1"/>
        <v>524.8</v>
      </c>
      <c r="I20" s="74">
        <f t="shared" si="2"/>
        <v>14038399.999999998</v>
      </c>
      <c r="J20" s="74">
        <v>26750</v>
      </c>
      <c r="K20" s="69"/>
      <c r="L20" s="70"/>
      <c r="M20" s="69"/>
      <c r="N20" s="68"/>
      <c r="O20" s="68"/>
      <c r="P20" s="68"/>
      <c r="Q20" s="63">
        <f>Лист1!P16</f>
        <v>14038399.999999998</v>
      </c>
      <c r="R20" s="63">
        <f>Лист1!T16</f>
        <v>5502475.000000002</v>
      </c>
      <c r="S20" s="69">
        <v>26750</v>
      </c>
      <c r="T20" s="69">
        <f t="shared" si="0"/>
        <v>20062.5</v>
      </c>
    </row>
    <row r="21" spans="1:20" s="13" customFormat="1" ht="12.75">
      <c r="A21" s="14"/>
      <c r="B21" s="12" t="s">
        <v>36</v>
      </c>
      <c r="C21" s="16">
        <f>490.2-16.8</f>
        <v>473.4</v>
      </c>
      <c r="D21" s="16">
        <v>55.2</v>
      </c>
      <c r="E21" s="14"/>
      <c r="F21" s="14"/>
      <c r="G21" s="14"/>
      <c r="H21" s="74">
        <f t="shared" si="1"/>
        <v>473.4</v>
      </c>
      <c r="I21" s="74">
        <f t="shared" si="2"/>
        <v>12663450</v>
      </c>
      <c r="J21" s="74">
        <v>26750</v>
      </c>
      <c r="K21" s="69"/>
      <c r="L21" s="70"/>
      <c r="M21" s="69"/>
      <c r="N21" s="68"/>
      <c r="O21" s="68"/>
      <c r="P21" s="68"/>
      <c r="Q21" s="63">
        <f>Лист1!P17</f>
        <v>12663450</v>
      </c>
      <c r="R21" s="63">
        <f>Лист1!T17</f>
        <v>2260375</v>
      </c>
      <c r="S21" s="69">
        <v>26750</v>
      </c>
      <c r="T21" s="69">
        <f t="shared" si="0"/>
        <v>20062.5</v>
      </c>
    </row>
    <row r="22" spans="1:20" s="13" customFormat="1" ht="12.75">
      <c r="A22" s="14"/>
      <c r="B22" s="12" t="s">
        <v>37</v>
      </c>
      <c r="C22" s="16">
        <f>400.9-44.6</f>
        <v>356.29999999999995</v>
      </c>
      <c r="D22" s="16">
        <v>255.9</v>
      </c>
      <c r="E22" s="14"/>
      <c r="F22" s="14"/>
      <c r="G22" s="14"/>
      <c r="H22" s="74">
        <f t="shared" si="1"/>
        <v>356.29999999999995</v>
      </c>
      <c r="I22" s="74">
        <f t="shared" si="2"/>
        <v>9531024.999999998</v>
      </c>
      <c r="J22" s="74">
        <v>26750</v>
      </c>
      <c r="K22" s="69"/>
      <c r="L22" s="70"/>
      <c r="M22" s="69"/>
      <c r="N22" s="68"/>
      <c r="O22" s="68"/>
      <c r="P22" s="68"/>
      <c r="Q22" s="63">
        <f>Лист1!P18</f>
        <v>9531024.999999998</v>
      </c>
      <c r="R22" s="63">
        <f>Лист1!T18</f>
        <v>4344200.000000002</v>
      </c>
      <c r="S22" s="69">
        <v>26750</v>
      </c>
      <c r="T22" s="69">
        <f t="shared" si="0"/>
        <v>20062.5</v>
      </c>
    </row>
    <row r="23" spans="1:20" s="13" customFormat="1" ht="12.75">
      <c r="A23" s="14"/>
      <c r="B23" s="12" t="s">
        <v>38</v>
      </c>
      <c r="C23" s="16">
        <v>489.3</v>
      </c>
      <c r="D23" s="16">
        <v>26.1</v>
      </c>
      <c r="E23" s="14"/>
      <c r="F23" s="14"/>
      <c r="G23" s="14"/>
      <c r="H23" s="74">
        <f t="shared" si="1"/>
        <v>489.3</v>
      </c>
      <c r="I23" s="74">
        <f t="shared" si="2"/>
        <v>13088775</v>
      </c>
      <c r="J23" s="74">
        <v>26750</v>
      </c>
      <c r="K23" s="69"/>
      <c r="L23" s="70"/>
      <c r="M23" s="69"/>
      <c r="N23" s="68"/>
      <c r="O23" s="68"/>
      <c r="P23" s="68"/>
      <c r="Q23" s="63">
        <f>Лист1!P19</f>
        <v>13088775</v>
      </c>
      <c r="R23" s="63">
        <f>Лист1!T19</f>
        <v>3330375</v>
      </c>
      <c r="S23" s="69">
        <v>26750</v>
      </c>
      <c r="T23" s="69">
        <f t="shared" si="0"/>
        <v>20062.5</v>
      </c>
    </row>
    <row r="24" spans="1:20" s="13" customFormat="1" ht="12.75">
      <c r="A24" s="14"/>
      <c r="B24" s="12" t="s">
        <v>39</v>
      </c>
      <c r="C24" s="16">
        <f>492.6-39</f>
        <v>453.6</v>
      </c>
      <c r="D24" s="16">
        <v>119.2</v>
      </c>
      <c r="E24" s="14"/>
      <c r="F24" s="14"/>
      <c r="G24" s="14"/>
      <c r="H24" s="74">
        <f t="shared" si="1"/>
        <v>453.6</v>
      </c>
      <c r="I24" s="74">
        <f t="shared" si="2"/>
        <v>12133800</v>
      </c>
      <c r="J24" s="74">
        <v>26750</v>
      </c>
      <c r="K24" s="69"/>
      <c r="L24" s="70"/>
      <c r="M24" s="69"/>
      <c r="N24" s="68"/>
      <c r="O24" s="68"/>
      <c r="P24" s="68"/>
      <c r="Q24" s="63">
        <f>Лист1!P20</f>
        <v>12133800</v>
      </c>
      <c r="R24" s="63">
        <f>Лист1!T20</f>
        <v>2661625</v>
      </c>
      <c r="S24" s="69">
        <v>26750</v>
      </c>
      <c r="T24" s="69">
        <f t="shared" si="0"/>
        <v>20062.5</v>
      </c>
    </row>
    <row r="25" spans="1:20" s="13" customFormat="1" ht="12.75">
      <c r="A25" s="14"/>
      <c r="B25" s="12" t="s">
        <v>40</v>
      </c>
      <c r="C25" s="16">
        <f>355.6</f>
        <v>355.6</v>
      </c>
      <c r="D25" s="16">
        <v>44.1</v>
      </c>
      <c r="E25" s="14"/>
      <c r="F25" s="14"/>
      <c r="G25" s="14"/>
      <c r="H25" s="74">
        <f t="shared" si="1"/>
        <v>355.6</v>
      </c>
      <c r="I25" s="74">
        <f t="shared" si="2"/>
        <v>9512300</v>
      </c>
      <c r="J25" s="74">
        <v>26750</v>
      </c>
      <c r="K25" s="69"/>
      <c r="L25" s="70"/>
      <c r="M25" s="69"/>
      <c r="N25" s="68"/>
      <c r="O25" s="68"/>
      <c r="P25" s="68"/>
      <c r="Q25" s="63">
        <f>Лист1!P21</f>
        <v>9512300</v>
      </c>
      <c r="R25" s="63">
        <f>Лист1!T21</f>
        <v>4734750</v>
      </c>
      <c r="S25" s="69">
        <v>26750</v>
      </c>
      <c r="T25" s="69">
        <f t="shared" si="0"/>
        <v>20062.5</v>
      </c>
    </row>
    <row r="26" spans="1:20" s="13" customFormat="1" ht="12.75">
      <c r="A26" s="14"/>
      <c r="B26" s="12" t="s">
        <v>41</v>
      </c>
      <c r="C26" s="16">
        <f>393.1-15.3</f>
        <v>377.8</v>
      </c>
      <c r="D26" s="16">
        <v>43.9</v>
      </c>
      <c r="E26" s="14"/>
      <c r="F26" s="14"/>
      <c r="G26" s="14"/>
      <c r="H26" s="74">
        <f t="shared" si="1"/>
        <v>377.8</v>
      </c>
      <c r="I26" s="74">
        <f t="shared" si="2"/>
        <v>10106150</v>
      </c>
      <c r="J26" s="74">
        <v>26750</v>
      </c>
      <c r="K26" s="69"/>
      <c r="L26" s="70"/>
      <c r="M26" s="69"/>
      <c r="N26" s="68"/>
      <c r="O26" s="68"/>
      <c r="P26" s="68"/>
      <c r="Q26" s="63">
        <f>Лист1!P22</f>
        <v>10106150</v>
      </c>
      <c r="R26" s="63">
        <f>Лист1!T22</f>
        <v>5550625</v>
      </c>
      <c r="S26" s="69">
        <v>26750</v>
      </c>
      <c r="T26" s="69">
        <f t="shared" si="0"/>
        <v>20062.5</v>
      </c>
    </row>
    <row r="27" spans="1:20" s="13" customFormat="1" ht="12.75">
      <c r="A27" s="14"/>
      <c r="B27" s="12" t="s">
        <v>78</v>
      </c>
      <c r="C27" s="16">
        <f>610.7-23.99</f>
        <v>586.71</v>
      </c>
      <c r="D27" s="16">
        <v>393.3</v>
      </c>
      <c r="E27" s="14"/>
      <c r="F27" s="14"/>
      <c r="G27" s="14"/>
      <c r="H27" s="74">
        <f t="shared" si="1"/>
        <v>586.71</v>
      </c>
      <c r="I27" s="74">
        <f t="shared" si="2"/>
        <v>15694492.500000002</v>
      </c>
      <c r="J27" s="74">
        <v>26750</v>
      </c>
      <c r="K27" s="69"/>
      <c r="L27" s="70"/>
      <c r="M27" s="69"/>
      <c r="N27" s="68"/>
      <c r="O27" s="68"/>
      <c r="P27" s="68"/>
      <c r="Q27" s="63">
        <f>Лист1!P23</f>
        <v>15694492.500000002</v>
      </c>
      <c r="R27" s="63">
        <f>Лист1!T23</f>
        <v>4608757.499999998</v>
      </c>
      <c r="S27" s="69">
        <v>26750</v>
      </c>
      <c r="T27" s="69">
        <f t="shared" si="0"/>
        <v>20062.5</v>
      </c>
    </row>
    <row r="28" spans="1:20" s="13" customFormat="1" ht="12.75">
      <c r="A28" s="14"/>
      <c r="B28" s="12" t="s">
        <v>43</v>
      </c>
      <c r="C28" s="16">
        <v>253.5</v>
      </c>
      <c r="D28" s="16">
        <v>150.1</v>
      </c>
      <c r="E28" s="14"/>
      <c r="F28" s="14"/>
      <c r="G28" s="14"/>
      <c r="H28" s="74">
        <f t="shared" si="1"/>
        <v>253.5</v>
      </c>
      <c r="I28" s="74">
        <f t="shared" si="2"/>
        <v>6781125</v>
      </c>
      <c r="J28" s="74">
        <v>26750</v>
      </c>
      <c r="K28" s="69"/>
      <c r="L28" s="70"/>
      <c r="M28" s="69"/>
      <c r="N28" s="68"/>
      <c r="O28" s="68"/>
      <c r="P28" s="68"/>
      <c r="Q28" s="63">
        <f>Лист1!P24</f>
        <v>6781125</v>
      </c>
      <c r="R28" s="63">
        <f>Лист1!T24</f>
        <v>4681250</v>
      </c>
      <c r="S28" s="69">
        <v>26750</v>
      </c>
      <c r="T28" s="69">
        <f t="shared" si="0"/>
        <v>20062.5</v>
      </c>
    </row>
    <row r="29" spans="1:20" s="13" customFormat="1" ht="12.75">
      <c r="A29" s="14"/>
      <c r="B29" s="12" t="s">
        <v>44</v>
      </c>
      <c r="C29" s="16">
        <f>482.6-25.4</f>
        <v>457.20000000000005</v>
      </c>
      <c r="D29" s="16">
        <v>220.8</v>
      </c>
      <c r="E29" s="14"/>
      <c r="F29" s="14"/>
      <c r="G29" s="14"/>
      <c r="H29" s="74">
        <f t="shared" si="1"/>
        <v>457.20000000000005</v>
      </c>
      <c r="I29" s="74">
        <f t="shared" si="2"/>
        <v>12230100.000000002</v>
      </c>
      <c r="J29" s="74">
        <v>26750</v>
      </c>
      <c r="K29" s="69"/>
      <c r="L29" s="70"/>
      <c r="M29" s="69"/>
      <c r="N29" s="68"/>
      <c r="O29" s="68"/>
      <c r="P29" s="68"/>
      <c r="Q29" s="63">
        <f>Лист1!P25</f>
        <v>12230100.000000002</v>
      </c>
      <c r="R29" s="63">
        <f>Лист1!T25</f>
        <v>5668324.999999998</v>
      </c>
      <c r="S29" s="69">
        <v>26750</v>
      </c>
      <c r="T29" s="69">
        <f t="shared" si="0"/>
        <v>20062.5</v>
      </c>
    </row>
    <row r="33" ht="12.75">
      <c r="M33" s="7"/>
    </row>
    <row r="38" ht="12.75">
      <c r="M38" s="52"/>
    </row>
  </sheetData>
  <sheetProtection/>
  <mergeCells count="28">
    <mergeCell ref="Q1:T2"/>
    <mergeCell ref="A13:B13"/>
    <mergeCell ref="N9:N10"/>
    <mergeCell ref="O9:O10"/>
    <mergeCell ref="P9:P10"/>
    <mergeCell ref="A7:A10"/>
    <mergeCell ref="B7:B10"/>
    <mergeCell ref="C7:D8"/>
    <mergeCell ref="E7:G8"/>
    <mergeCell ref="N7:P8"/>
    <mergeCell ref="S7:S10"/>
    <mergeCell ref="T7:T10"/>
    <mergeCell ref="C9:C10"/>
    <mergeCell ref="D9:D10"/>
    <mergeCell ref="E9:E10"/>
    <mergeCell ref="F9:F10"/>
    <mergeCell ref="G9:G10"/>
    <mergeCell ref="H7:J8"/>
    <mergeCell ref="R7:R10"/>
    <mergeCell ref="A4:Q4"/>
    <mergeCell ref="H9:H10"/>
    <mergeCell ref="I9:I10"/>
    <mergeCell ref="J9:J10"/>
    <mergeCell ref="K9:K10"/>
    <mergeCell ref="L9:L10"/>
    <mergeCell ref="M9:M10"/>
    <mergeCell ref="Q7:Q10"/>
    <mergeCell ref="K7:M8"/>
  </mergeCells>
  <printOptions horizontalCentered="1"/>
  <pageMargins left="0.7086614173228347" right="0.7086614173228347" top="0.984251968503937" bottom="0.984251968503937" header="0.5118110236220472" footer="0.5118110236220472"/>
  <pageSetup fitToHeight="1000" horizontalDpi="600" verticalDpi="600" orientation="landscape" paperSize="9" scale="50" r:id="rId1"/>
  <headerFooter alignWithMargins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6.875" style="0" bestFit="1" customWidth="1"/>
    <col min="2" max="2" width="22.25390625" style="0" bestFit="1" customWidth="1"/>
    <col min="3" max="5" width="8.375" style="0" bestFit="1" customWidth="1"/>
    <col min="6" max="7" width="10.125" style="0" bestFit="1" customWidth="1"/>
    <col min="8" max="11" width="8.375" style="0" bestFit="1" customWidth="1"/>
    <col min="12" max="12" width="9.375" style="0" bestFit="1" customWidth="1"/>
    <col min="13" max="16" width="8.375" style="0" bestFit="1" customWidth="1"/>
    <col min="17" max="17" width="9.375" style="0" bestFit="1" customWidth="1"/>
    <col min="18" max="18" width="0" style="0" hidden="1" customWidth="1"/>
  </cols>
  <sheetData>
    <row r="1" spans="10:17" ht="13.5" customHeight="1">
      <c r="J1" s="207" t="s">
        <v>108</v>
      </c>
      <c r="K1" s="207"/>
      <c r="L1" s="207"/>
      <c r="M1" s="207"/>
      <c r="N1" s="207"/>
      <c r="O1" s="207"/>
      <c r="P1" s="207"/>
      <c r="Q1" s="207"/>
    </row>
    <row r="2" spans="10:17" s="10" customFormat="1" ht="37.5" customHeight="1">
      <c r="J2" s="207"/>
      <c r="K2" s="207"/>
      <c r="L2" s="207"/>
      <c r="M2" s="207"/>
      <c r="N2" s="207"/>
      <c r="O2" s="207"/>
      <c r="P2" s="207"/>
      <c r="Q2" s="207"/>
    </row>
    <row r="3" spans="10:17" s="10" customFormat="1" ht="12.75">
      <c r="J3" s="207"/>
      <c r="K3" s="218"/>
      <c r="L3" s="218"/>
      <c r="M3" s="218"/>
      <c r="N3" s="218"/>
      <c r="O3" s="218"/>
      <c r="P3" s="218"/>
      <c r="Q3" s="218"/>
    </row>
    <row r="4" spans="10:17" s="10" customFormat="1" ht="12.75">
      <c r="J4" s="207"/>
      <c r="K4" s="218"/>
      <c r="L4" s="218"/>
      <c r="M4" s="218"/>
      <c r="N4" s="218"/>
      <c r="O4" s="218"/>
      <c r="P4" s="218"/>
      <c r="Q4" s="218"/>
    </row>
    <row r="5" spans="10:17" s="10" customFormat="1" ht="12.75">
      <c r="J5" s="207"/>
      <c r="K5" s="218"/>
      <c r="L5" s="218"/>
      <c r="M5" s="218"/>
      <c r="N5" s="218"/>
      <c r="O5" s="218"/>
      <c r="P5" s="218"/>
      <c r="Q5" s="218"/>
    </row>
    <row r="6" s="10" customFormat="1" ht="12.75"/>
    <row r="7" spans="1:17" s="10" customFormat="1" ht="14.25">
      <c r="A7" s="219" t="s">
        <v>64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</row>
    <row r="8" spans="1:17" s="10" customFormat="1" ht="14.25">
      <c r="A8" s="219" t="s">
        <v>65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</row>
    <row r="9" s="10" customFormat="1" ht="12.75"/>
    <row r="10" spans="1:17" s="10" customFormat="1" ht="12.75">
      <c r="A10" s="221" t="s">
        <v>0</v>
      </c>
      <c r="B10" s="221" t="s">
        <v>66</v>
      </c>
      <c r="C10" s="221" t="s">
        <v>67</v>
      </c>
      <c r="D10" s="222"/>
      <c r="E10" s="222"/>
      <c r="F10" s="222"/>
      <c r="G10" s="222"/>
      <c r="H10" s="221" t="s">
        <v>68</v>
      </c>
      <c r="I10" s="222"/>
      <c r="J10" s="222"/>
      <c r="K10" s="222"/>
      <c r="L10" s="222"/>
      <c r="M10" s="221" t="s">
        <v>69</v>
      </c>
      <c r="N10" s="222"/>
      <c r="O10" s="222"/>
      <c r="P10" s="222"/>
      <c r="Q10" s="222"/>
    </row>
    <row r="11" spans="1:17" s="10" customFormat="1" ht="12.7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</row>
    <row r="12" spans="1:17" s="10" customFormat="1" ht="31.5">
      <c r="A12" s="222"/>
      <c r="B12" s="222"/>
      <c r="C12" s="11" t="s">
        <v>70</v>
      </c>
      <c r="D12" s="11" t="s">
        <v>71</v>
      </c>
      <c r="E12" s="11" t="s">
        <v>72</v>
      </c>
      <c r="F12" s="11" t="s">
        <v>73</v>
      </c>
      <c r="G12" s="11" t="s">
        <v>74</v>
      </c>
      <c r="H12" s="11" t="s">
        <v>70</v>
      </c>
      <c r="I12" s="11" t="s">
        <v>71</v>
      </c>
      <c r="J12" s="11" t="s">
        <v>72</v>
      </c>
      <c r="K12" s="11" t="s">
        <v>73</v>
      </c>
      <c r="L12" s="11" t="s">
        <v>74</v>
      </c>
      <c r="M12" s="11" t="s">
        <v>70</v>
      </c>
      <c r="N12" s="11" t="s">
        <v>71</v>
      </c>
      <c r="O12" s="11" t="s">
        <v>72</v>
      </c>
      <c r="P12" s="11" t="s">
        <v>73</v>
      </c>
      <c r="Q12" s="11" t="s">
        <v>74</v>
      </c>
    </row>
    <row r="13" spans="1:17" s="10" customFormat="1" ht="15.75">
      <c r="A13" s="222"/>
      <c r="B13" s="222"/>
      <c r="C13" s="11" t="s">
        <v>7</v>
      </c>
      <c r="D13" s="11" t="s">
        <v>7</v>
      </c>
      <c r="E13" s="11" t="s">
        <v>7</v>
      </c>
      <c r="F13" s="11" t="s">
        <v>7</v>
      </c>
      <c r="G13" s="11" t="s">
        <v>7</v>
      </c>
      <c r="H13" s="11" t="s">
        <v>10</v>
      </c>
      <c r="I13" s="11" t="s">
        <v>10</v>
      </c>
      <c r="J13" s="11" t="s">
        <v>10</v>
      </c>
      <c r="K13" s="11" t="s">
        <v>10</v>
      </c>
      <c r="L13" s="11" t="s">
        <v>10</v>
      </c>
      <c r="M13" s="11" t="s">
        <v>5</v>
      </c>
      <c r="N13" s="11" t="s">
        <v>5</v>
      </c>
      <c r="O13" s="11" t="s">
        <v>5</v>
      </c>
      <c r="P13" s="11" t="s">
        <v>5</v>
      </c>
      <c r="Q13" s="11" t="s">
        <v>5</v>
      </c>
    </row>
    <row r="14" spans="1:17" s="10" customFormat="1" ht="15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</row>
    <row r="15" spans="1:17" s="24" customFormat="1" ht="47.25">
      <c r="A15" s="20"/>
      <c r="B15" s="21" t="s">
        <v>79</v>
      </c>
      <c r="C15" s="22"/>
      <c r="D15" s="22"/>
      <c r="E15" s="22"/>
      <c r="F15" s="22"/>
      <c r="G15" s="22">
        <f>G16+G17</f>
        <v>6161.71</v>
      </c>
      <c r="H15" s="23"/>
      <c r="I15" s="23"/>
      <c r="J15" s="23"/>
      <c r="K15" s="23"/>
      <c r="L15" s="62">
        <f>L16+L17</f>
        <v>136</v>
      </c>
      <c r="M15" s="23"/>
      <c r="N15" s="23"/>
      <c r="O15" s="23"/>
      <c r="P15" s="23"/>
      <c r="Q15" s="62">
        <f>Q16+Q17</f>
        <v>356</v>
      </c>
    </row>
    <row r="16" spans="1:17" s="24" customFormat="1" ht="15.75">
      <c r="A16" s="25">
        <v>1</v>
      </c>
      <c r="B16" s="20">
        <v>2013</v>
      </c>
      <c r="C16" s="22"/>
      <c r="D16" s="22"/>
      <c r="E16" s="22"/>
      <c r="F16" s="22"/>
      <c r="G16" s="22">
        <f>Лист1!M10</f>
        <v>827.6</v>
      </c>
      <c r="H16" s="23"/>
      <c r="I16" s="23"/>
      <c r="J16" s="23"/>
      <c r="K16" s="23"/>
      <c r="L16" s="29">
        <f>Лист1!J10</f>
        <v>18</v>
      </c>
      <c r="M16" s="23"/>
      <c r="N16" s="23"/>
      <c r="O16" s="23"/>
      <c r="P16" s="23"/>
      <c r="Q16" s="29">
        <f>Лист1!H10</f>
        <v>52</v>
      </c>
    </row>
    <row r="17" spans="1:17" ht="15.75">
      <c r="A17" s="19">
        <v>2</v>
      </c>
      <c r="B17" s="26">
        <v>2014</v>
      </c>
      <c r="C17" s="27"/>
      <c r="D17" s="27"/>
      <c r="E17" s="27"/>
      <c r="F17" s="27"/>
      <c r="G17" s="28">
        <f>Лист1!M13</f>
        <v>5334.11</v>
      </c>
      <c r="H17" s="27"/>
      <c r="I17" s="27"/>
      <c r="J17" s="27"/>
      <c r="K17" s="27"/>
      <c r="L17" s="61">
        <f>Лист1!J13</f>
        <v>118</v>
      </c>
      <c r="M17" s="27"/>
      <c r="N17" s="27"/>
      <c r="O17" s="27"/>
      <c r="P17" s="27"/>
      <c r="Q17" s="61">
        <f>Лист1!H13</f>
        <v>304</v>
      </c>
    </row>
  </sheetData>
  <sheetProtection/>
  <mergeCells count="11">
    <mergeCell ref="H10:L11"/>
    <mergeCell ref="J5:Q5"/>
    <mergeCell ref="A7:Q7"/>
    <mergeCell ref="J1:Q2"/>
    <mergeCell ref="A8:Q8"/>
    <mergeCell ref="M10:Q11"/>
    <mergeCell ref="J3:Q3"/>
    <mergeCell ref="J4:Q4"/>
    <mergeCell ref="A10:A13"/>
    <mergeCell ref="B10:B13"/>
    <mergeCell ref="C10:G11"/>
  </mergeCells>
  <printOptions/>
  <pageMargins left="0.6944444444444444" right="0.6944444444444444" top="1" bottom="1" header="0.5" footer="0.5"/>
  <pageSetup fitToHeight="1" fitToWidth="1" horizontalDpi="180" verticalDpi="180" orientation="landscape" paperSize="9" scale="83" r:id="rId1"/>
  <headerFooter alignWithMargins="0">
    <oddFooter>&amp;L______________________________________________________________________________________________________________________________________
Приложение 3&amp;R
&amp;P стр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4" sqref="A4:C5"/>
    </sheetView>
  </sheetViews>
  <sheetFormatPr defaultColWidth="9.00390625" defaultRowHeight="12.75"/>
  <cols>
    <col min="1" max="1" width="6.125" style="0" customWidth="1"/>
    <col min="2" max="2" width="5.625" style="0" customWidth="1"/>
    <col min="3" max="3" width="27.625" style="0" customWidth="1"/>
    <col min="4" max="4" width="11.25390625" style="0" customWidth="1"/>
    <col min="6" max="6" width="13.375" style="0" customWidth="1"/>
    <col min="7" max="7" width="16.125" style="0" customWidth="1"/>
    <col min="8" max="8" width="14.00390625" style="0" customWidth="1"/>
    <col min="9" max="9" width="12.625" style="0" customWidth="1"/>
    <col min="10" max="10" width="13.25390625" style="0" customWidth="1"/>
    <col min="11" max="11" width="13.625" style="0" customWidth="1"/>
    <col min="12" max="12" width="12.00390625" style="0" customWidth="1"/>
  </cols>
  <sheetData>
    <row r="1" spans="1:12" ht="12.75">
      <c r="A1" s="223" t="s">
        <v>104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>
      <c r="A2" s="223" t="s">
        <v>105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24.75" customHeight="1">
      <c r="A3" s="227" t="s">
        <v>109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2.75">
      <c r="A4" s="228" t="s">
        <v>45</v>
      </c>
      <c r="B4" s="228"/>
      <c r="C4" s="228"/>
      <c r="D4" s="229" t="s">
        <v>80</v>
      </c>
      <c r="E4" s="229" t="s">
        <v>81</v>
      </c>
      <c r="F4" s="230" t="s">
        <v>98</v>
      </c>
      <c r="G4" s="231"/>
      <c r="H4" s="231"/>
      <c r="I4" s="231"/>
      <c r="J4" s="232"/>
      <c r="K4" s="233" t="s">
        <v>93</v>
      </c>
      <c r="L4" s="235" t="s">
        <v>82</v>
      </c>
    </row>
    <row r="5" spans="1:12" ht="78.75">
      <c r="A5" s="228"/>
      <c r="B5" s="228"/>
      <c r="C5" s="228"/>
      <c r="D5" s="229"/>
      <c r="E5" s="229"/>
      <c r="F5" s="31" t="s">
        <v>83</v>
      </c>
      <c r="G5" s="31" t="s">
        <v>84</v>
      </c>
      <c r="H5" s="32" t="s">
        <v>85</v>
      </c>
      <c r="I5" s="31" t="s">
        <v>100</v>
      </c>
      <c r="J5" s="33" t="s">
        <v>86</v>
      </c>
      <c r="K5" s="234"/>
      <c r="L5" s="235"/>
    </row>
    <row r="6" spans="1:12" ht="15">
      <c r="A6" s="34"/>
      <c r="B6" s="35"/>
      <c r="C6" s="36" t="s">
        <v>34</v>
      </c>
      <c r="D6" s="37">
        <f>D7+D8+D9+D10+D11+D12+D13+D14</f>
        <v>347.3</v>
      </c>
      <c r="E6" s="37"/>
      <c r="F6" s="37"/>
      <c r="G6" s="37"/>
      <c r="H6" s="37"/>
      <c r="I6" s="37"/>
      <c r="J6" s="37"/>
      <c r="K6" s="37">
        <f>K7+K8+K9+K10+K11+K12+K13+K14</f>
        <v>16616000</v>
      </c>
      <c r="L6" s="37"/>
    </row>
    <row r="7" spans="1:12" ht="15">
      <c r="A7" s="43">
        <v>1</v>
      </c>
      <c r="B7" s="44">
        <v>1</v>
      </c>
      <c r="C7" s="41" t="s">
        <v>88</v>
      </c>
      <c r="D7" s="41">
        <v>39.5</v>
      </c>
      <c r="E7" s="41">
        <v>23.6</v>
      </c>
      <c r="F7" s="41">
        <v>2000000</v>
      </c>
      <c r="G7" s="41">
        <v>1800000</v>
      </c>
      <c r="H7" s="41">
        <v>1950000</v>
      </c>
      <c r="I7" s="41">
        <v>2600000</v>
      </c>
      <c r="J7" s="41">
        <v>1700000</v>
      </c>
      <c r="K7" s="39">
        <f aca="true" t="shared" si="0" ref="K7:K25">(F7+G7+H7+I7+J7)/5</f>
        <v>2010000</v>
      </c>
      <c r="L7" s="40">
        <f aca="true" t="shared" si="1" ref="L7:L25">K7/D7</f>
        <v>50886.07594936709</v>
      </c>
    </row>
    <row r="8" spans="1:12" ht="15">
      <c r="A8" s="43">
        <v>2</v>
      </c>
      <c r="B8" s="44">
        <v>2</v>
      </c>
      <c r="C8" s="41" t="s">
        <v>88</v>
      </c>
      <c r="D8" s="41">
        <v>41.8</v>
      </c>
      <c r="E8" s="41">
        <v>23.4</v>
      </c>
      <c r="F8" s="41">
        <v>2050000</v>
      </c>
      <c r="G8" s="41">
        <v>1800000</v>
      </c>
      <c r="H8" s="41">
        <v>1950000</v>
      </c>
      <c r="I8" s="41">
        <v>2600000</v>
      </c>
      <c r="J8" s="41">
        <v>1750000</v>
      </c>
      <c r="K8" s="39">
        <f t="shared" si="0"/>
        <v>2030000</v>
      </c>
      <c r="L8" s="40">
        <f t="shared" si="1"/>
        <v>48564.59330143541</v>
      </c>
    </row>
    <row r="9" spans="1:12" ht="15">
      <c r="A9" s="43">
        <v>3</v>
      </c>
      <c r="B9" s="44">
        <v>3</v>
      </c>
      <c r="C9" s="41" t="s">
        <v>89</v>
      </c>
      <c r="D9" s="41">
        <v>52.3</v>
      </c>
      <c r="E9" s="41">
        <v>34.3</v>
      </c>
      <c r="F9" s="41">
        <v>2200000</v>
      </c>
      <c r="G9" s="41">
        <v>1800000</v>
      </c>
      <c r="H9" s="41">
        <v>2200000</v>
      </c>
      <c r="I9" s="41">
        <v>3200000</v>
      </c>
      <c r="J9" s="41">
        <v>2000000</v>
      </c>
      <c r="K9" s="39">
        <f t="shared" si="0"/>
        <v>2280000</v>
      </c>
      <c r="L9" s="40">
        <f t="shared" si="1"/>
        <v>43594.646271510515</v>
      </c>
    </row>
    <row r="10" spans="1:12" ht="15">
      <c r="A10" s="43">
        <v>4</v>
      </c>
      <c r="B10" s="44">
        <v>4</v>
      </c>
      <c r="C10" s="41" t="s">
        <v>88</v>
      </c>
      <c r="D10" s="41">
        <v>39.4</v>
      </c>
      <c r="E10" s="41">
        <v>23.1</v>
      </c>
      <c r="F10" s="41">
        <v>1900000</v>
      </c>
      <c r="G10" s="41">
        <v>1800000</v>
      </c>
      <c r="H10" s="41">
        <v>1950000</v>
      </c>
      <c r="I10" s="41">
        <v>2600000</v>
      </c>
      <c r="J10" s="41">
        <v>1700000</v>
      </c>
      <c r="K10" s="39">
        <f t="shared" si="0"/>
        <v>1990000</v>
      </c>
      <c r="L10" s="40">
        <f t="shared" si="1"/>
        <v>50507.61421319797</v>
      </c>
    </row>
    <row r="11" spans="1:12" ht="15">
      <c r="A11" s="43">
        <v>5</v>
      </c>
      <c r="B11" s="44">
        <v>5</v>
      </c>
      <c r="C11" s="41" t="s">
        <v>88</v>
      </c>
      <c r="D11" s="41">
        <v>40.1</v>
      </c>
      <c r="E11" s="41">
        <v>23.8</v>
      </c>
      <c r="F11" s="41">
        <v>1950000</v>
      </c>
      <c r="G11" s="41">
        <v>1800000</v>
      </c>
      <c r="H11" s="41">
        <v>1950000</v>
      </c>
      <c r="I11" s="41">
        <v>2600000</v>
      </c>
      <c r="J11" s="41">
        <v>1700000</v>
      </c>
      <c r="K11" s="39">
        <f t="shared" si="0"/>
        <v>2000000</v>
      </c>
      <c r="L11" s="40">
        <f t="shared" si="1"/>
        <v>49875.31172069825</v>
      </c>
    </row>
    <row r="12" spans="1:12" ht="15">
      <c r="A12" s="43">
        <v>6</v>
      </c>
      <c r="B12" s="44">
        <v>6</v>
      </c>
      <c r="C12" s="41" t="s">
        <v>88</v>
      </c>
      <c r="D12" s="41">
        <v>41.7</v>
      </c>
      <c r="E12" s="41">
        <v>23.9</v>
      </c>
      <c r="F12" s="41">
        <v>2030000</v>
      </c>
      <c r="G12" s="41">
        <v>1800000</v>
      </c>
      <c r="H12" s="41">
        <v>1950000</v>
      </c>
      <c r="I12" s="41">
        <v>2600000</v>
      </c>
      <c r="J12" s="41">
        <v>1750000</v>
      </c>
      <c r="K12" s="39">
        <f t="shared" si="0"/>
        <v>2026000</v>
      </c>
      <c r="L12" s="40">
        <f t="shared" si="1"/>
        <v>48585.13189448441</v>
      </c>
    </row>
    <row r="13" spans="1:12" ht="15">
      <c r="A13" s="43">
        <v>7</v>
      </c>
      <c r="B13" s="44">
        <v>7</v>
      </c>
      <c r="C13" s="41" t="s">
        <v>89</v>
      </c>
      <c r="D13" s="41">
        <v>52.9</v>
      </c>
      <c r="E13" s="41">
        <v>34.6</v>
      </c>
      <c r="F13" s="41">
        <v>2250000</v>
      </c>
      <c r="G13" s="41">
        <v>1800000</v>
      </c>
      <c r="H13" s="41">
        <v>2200000</v>
      </c>
      <c r="I13" s="41">
        <v>3200000</v>
      </c>
      <c r="J13" s="41">
        <v>2000000</v>
      </c>
      <c r="K13" s="39">
        <f t="shared" si="0"/>
        <v>2290000</v>
      </c>
      <c r="L13" s="40">
        <f t="shared" si="1"/>
        <v>43289.224952741024</v>
      </c>
    </row>
    <row r="14" spans="1:12" ht="15">
      <c r="A14" s="43">
        <v>8</v>
      </c>
      <c r="B14" s="44">
        <v>8</v>
      </c>
      <c r="C14" s="41" t="s">
        <v>88</v>
      </c>
      <c r="D14" s="41">
        <v>39.6</v>
      </c>
      <c r="E14" s="41">
        <v>23.1</v>
      </c>
      <c r="F14" s="41">
        <v>1900000</v>
      </c>
      <c r="G14" s="41">
        <v>1800000</v>
      </c>
      <c r="H14" s="41">
        <v>1950000</v>
      </c>
      <c r="I14" s="41">
        <v>2600000</v>
      </c>
      <c r="J14" s="41">
        <v>1700000</v>
      </c>
      <c r="K14" s="39">
        <f t="shared" si="0"/>
        <v>1990000</v>
      </c>
      <c r="L14" s="40">
        <f t="shared" si="1"/>
        <v>50252.52525252525</v>
      </c>
    </row>
    <row r="15" spans="1:12" ht="15">
      <c r="A15" s="34"/>
      <c r="B15" s="35"/>
      <c r="C15" s="36" t="s">
        <v>35</v>
      </c>
      <c r="D15" s="37">
        <f>D16+D17+D18+D19+D20+D21+D22+D23+D24+D25</f>
        <v>480.3</v>
      </c>
      <c r="E15" s="37"/>
      <c r="F15" s="37"/>
      <c r="G15" s="37"/>
      <c r="H15" s="37"/>
      <c r="I15" s="37"/>
      <c r="J15" s="37"/>
      <c r="K15" s="37">
        <f>K16+K17+K18+K19+K20+K21+K22+K23+K24+K25</f>
        <v>19834000</v>
      </c>
      <c r="L15" s="37"/>
    </row>
    <row r="16" spans="1:12" ht="30">
      <c r="A16" s="43">
        <v>9</v>
      </c>
      <c r="B16" s="44">
        <v>1</v>
      </c>
      <c r="C16" s="45" t="s">
        <v>91</v>
      </c>
      <c r="D16" s="41">
        <v>42.2</v>
      </c>
      <c r="E16" s="41">
        <v>29</v>
      </c>
      <c r="F16" s="41">
        <v>1200000</v>
      </c>
      <c r="G16" s="41">
        <v>1100000</v>
      </c>
      <c r="H16" s="41">
        <v>1000000</v>
      </c>
      <c r="I16" s="41">
        <v>1200000</v>
      </c>
      <c r="J16" s="41">
        <v>1000000</v>
      </c>
      <c r="K16" s="39">
        <f t="shared" si="0"/>
        <v>1100000</v>
      </c>
      <c r="L16" s="40">
        <f t="shared" si="1"/>
        <v>26066.35071090047</v>
      </c>
    </row>
    <row r="17" spans="1:12" ht="30">
      <c r="A17" s="43">
        <v>10</v>
      </c>
      <c r="B17" s="44">
        <v>1</v>
      </c>
      <c r="C17" s="45" t="s">
        <v>90</v>
      </c>
      <c r="D17" s="41">
        <v>24.3</v>
      </c>
      <c r="E17" s="41">
        <v>16.7</v>
      </c>
      <c r="F17" s="41">
        <v>700000</v>
      </c>
      <c r="G17" s="41">
        <v>850000</v>
      </c>
      <c r="H17" s="41">
        <v>650000</v>
      </c>
      <c r="I17" s="41">
        <v>700000</v>
      </c>
      <c r="J17" s="41">
        <v>600000</v>
      </c>
      <c r="K17" s="39">
        <f t="shared" si="0"/>
        <v>700000</v>
      </c>
      <c r="L17" s="40">
        <f t="shared" si="1"/>
        <v>28806.584362139918</v>
      </c>
    </row>
    <row r="18" spans="1:12" ht="15">
      <c r="A18" s="43">
        <v>11</v>
      </c>
      <c r="B18" s="44">
        <v>2</v>
      </c>
      <c r="C18" s="45" t="s">
        <v>88</v>
      </c>
      <c r="D18" s="41">
        <v>54.4</v>
      </c>
      <c r="E18" s="41">
        <v>34</v>
      </c>
      <c r="F18" s="41">
        <v>2500000</v>
      </c>
      <c r="G18" s="41">
        <v>2300000</v>
      </c>
      <c r="H18" s="41">
        <v>2560000</v>
      </c>
      <c r="I18" s="41">
        <v>2600000</v>
      </c>
      <c r="J18" s="41">
        <v>2500000</v>
      </c>
      <c r="K18" s="39">
        <f t="shared" si="0"/>
        <v>2492000</v>
      </c>
      <c r="L18" s="40">
        <f t="shared" si="1"/>
        <v>45808.82352941177</v>
      </c>
    </row>
    <row r="19" spans="1:12" ht="15">
      <c r="A19" s="43">
        <v>12</v>
      </c>
      <c r="B19" s="44">
        <v>3</v>
      </c>
      <c r="C19" s="45" t="s">
        <v>89</v>
      </c>
      <c r="D19" s="41">
        <v>66.6</v>
      </c>
      <c r="E19" s="41">
        <v>45.7</v>
      </c>
      <c r="F19" s="41">
        <v>2900000</v>
      </c>
      <c r="G19" s="41">
        <v>3300000</v>
      </c>
      <c r="H19" s="41">
        <v>3350000</v>
      </c>
      <c r="I19" s="41">
        <v>3200000</v>
      </c>
      <c r="J19" s="41">
        <v>3000000</v>
      </c>
      <c r="K19" s="39">
        <f t="shared" si="0"/>
        <v>3150000</v>
      </c>
      <c r="L19" s="40">
        <f t="shared" si="1"/>
        <v>47297.2972972973</v>
      </c>
    </row>
    <row r="20" spans="1:12" ht="15">
      <c r="A20" s="43">
        <v>13</v>
      </c>
      <c r="B20" s="44">
        <v>4</v>
      </c>
      <c r="C20" s="45" t="s">
        <v>88</v>
      </c>
      <c r="D20" s="41">
        <v>54.2</v>
      </c>
      <c r="E20" s="41">
        <v>33.5</v>
      </c>
      <c r="F20" s="41">
        <v>2500000</v>
      </c>
      <c r="G20" s="41">
        <v>2300000</v>
      </c>
      <c r="H20" s="41">
        <v>2560000</v>
      </c>
      <c r="I20" s="41">
        <v>2600000</v>
      </c>
      <c r="J20" s="41">
        <v>2500000</v>
      </c>
      <c r="K20" s="39">
        <f t="shared" si="0"/>
        <v>2492000</v>
      </c>
      <c r="L20" s="40">
        <f t="shared" si="1"/>
        <v>45977.85977859778</v>
      </c>
    </row>
    <row r="21" spans="1:12" ht="15">
      <c r="A21" s="43">
        <v>14</v>
      </c>
      <c r="B21" s="44">
        <v>5</v>
      </c>
      <c r="C21" s="45" t="s">
        <v>88</v>
      </c>
      <c r="D21" s="41">
        <v>54.8</v>
      </c>
      <c r="E21" s="41">
        <v>33.5</v>
      </c>
      <c r="F21" s="41">
        <v>2500000</v>
      </c>
      <c r="G21" s="41">
        <v>2300000</v>
      </c>
      <c r="H21" s="41">
        <v>2560000</v>
      </c>
      <c r="I21" s="41">
        <v>2600000</v>
      </c>
      <c r="J21" s="41">
        <v>2500000</v>
      </c>
      <c r="K21" s="39">
        <f t="shared" si="0"/>
        <v>2492000</v>
      </c>
      <c r="L21" s="40">
        <f t="shared" si="1"/>
        <v>45474.45255474453</v>
      </c>
    </row>
    <row r="22" spans="1:12" ht="15">
      <c r="A22" s="43">
        <v>15</v>
      </c>
      <c r="B22" s="44">
        <v>6</v>
      </c>
      <c r="C22" s="45" t="s">
        <v>89</v>
      </c>
      <c r="D22" s="41">
        <v>64.7</v>
      </c>
      <c r="E22" s="41">
        <v>44.8</v>
      </c>
      <c r="F22" s="41">
        <v>2850000</v>
      </c>
      <c r="G22" s="41">
        <v>3500000</v>
      </c>
      <c r="H22" s="41">
        <v>3350000</v>
      </c>
      <c r="I22" s="41">
        <v>3200000</v>
      </c>
      <c r="J22" s="41">
        <v>3000000</v>
      </c>
      <c r="K22" s="39">
        <f t="shared" si="0"/>
        <v>3180000</v>
      </c>
      <c r="L22" s="40">
        <f t="shared" si="1"/>
        <v>49149.92272024729</v>
      </c>
    </row>
    <row r="23" spans="1:12" ht="15">
      <c r="A23" s="43">
        <v>16</v>
      </c>
      <c r="B23" s="44">
        <v>7</v>
      </c>
      <c r="C23" s="45" t="s">
        <v>88</v>
      </c>
      <c r="D23" s="41">
        <v>53.2</v>
      </c>
      <c r="E23" s="41">
        <v>33</v>
      </c>
      <c r="F23" s="41">
        <v>2400000</v>
      </c>
      <c r="G23" s="41">
        <v>2300000</v>
      </c>
      <c r="H23" s="41">
        <v>2560000</v>
      </c>
      <c r="I23" s="41">
        <v>2600000</v>
      </c>
      <c r="J23" s="41">
        <v>2500000</v>
      </c>
      <c r="K23" s="39">
        <f t="shared" si="0"/>
        <v>2472000</v>
      </c>
      <c r="L23" s="40">
        <f t="shared" si="1"/>
        <v>46466.16541353383</v>
      </c>
    </row>
    <row r="24" spans="1:12" ht="30">
      <c r="A24" s="43">
        <v>17</v>
      </c>
      <c r="B24" s="44">
        <v>8</v>
      </c>
      <c r="C24" s="45" t="s">
        <v>91</v>
      </c>
      <c r="D24" s="41">
        <v>49.3</v>
      </c>
      <c r="E24" s="41">
        <v>33.6</v>
      </c>
      <c r="F24" s="41">
        <v>1200000</v>
      </c>
      <c r="G24" s="41">
        <v>1200000</v>
      </c>
      <c r="H24" s="41">
        <v>1000000</v>
      </c>
      <c r="I24" s="41">
        <v>1200000</v>
      </c>
      <c r="J24" s="41">
        <v>1000000</v>
      </c>
      <c r="K24" s="39">
        <f t="shared" si="0"/>
        <v>1120000</v>
      </c>
      <c r="L24" s="40">
        <f t="shared" si="1"/>
        <v>22718.052738336715</v>
      </c>
    </row>
    <row r="25" spans="1:12" ht="30">
      <c r="A25" s="43">
        <v>18</v>
      </c>
      <c r="B25" s="44">
        <v>8</v>
      </c>
      <c r="C25" s="45" t="s">
        <v>90</v>
      </c>
      <c r="D25" s="41">
        <v>16.6</v>
      </c>
      <c r="E25" s="41">
        <v>11.4</v>
      </c>
      <c r="F25" s="41">
        <v>650000</v>
      </c>
      <c r="G25" s="41">
        <v>750000</v>
      </c>
      <c r="H25" s="41">
        <v>580000</v>
      </c>
      <c r="I25" s="41">
        <v>700000</v>
      </c>
      <c r="J25" s="41">
        <v>500000</v>
      </c>
      <c r="K25" s="39">
        <f t="shared" si="0"/>
        <v>636000</v>
      </c>
      <c r="L25" s="40">
        <f t="shared" si="1"/>
        <v>38313.25301204819</v>
      </c>
    </row>
    <row r="26" spans="1:12" ht="12.75">
      <c r="A26" s="224" t="s">
        <v>16</v>
      </c>
      <c r="B26" s="225"/>
      <c r="C26" s="226"/>
      <c r="D26" s="8">
        <f>D6+D15</f>
        <v>827.6</v>
      </c>
      <c r="E26" s="15"/>
      <c r="F26" s="15"/>
      <c r="G26" s="15"/>
      <c r="H26" s="15"/>
      <c r="I26" s="15"/>
      <c r="J26" s="15"/>
      <c r="K26" s="57">
        <f>K6+K15</f>
        <v>36450000</v>
      </c>
      <c r="L26" s="15"/>
    </row>
  </sheetData>
  <sheetProtection/>
  <mergeCells count="10">
    <mergeCell ref="A1:L1"/>
    <mergeCell ref="A26:C26"/>
    <mergeCell ref="A2:L2"/>
    <mergeCell ref="A3:L3"/>
    <mergeCell ref="A4:C5"/>
    <mergeCell ref="D4:D5"/>
    <mergeCell ref="E4:E5"/>
    <mergeCell ref="F4:J4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625" style="0" customWidth="1"/>
    <col min="2" max="2" width="27.625" style="0" customWidth="1"/>
    <col min="6" max="7" width="11.00390625" style="0" customWidth="1"/>
    <col min="8" max="8" width="10.25390625" style="0" customWidth="1"/>
    <col min="9" max="9" width="16.00390625" style="0" customWidth="1"/>
  </cols>
  <sheetData>
    <row r="1" spans="1:9" ht="12.75">
      <c r="A1" s="223" t="s">
        <v>104</v>
      </c>
      <c r="B1" s="223"/>
      <c r="C1" s="223"/>
      <c r="D1" s="223"/>
      <c r="E1" s="223"/>
      <c r="F1" s="223"/>
      <c r="G1" s="223"/>
      <c r="H1" s="223"/>
      <c r="I1" s="223"/>
    </row>
    <row r="2" spans="1:11" ht="36.75" customHeight="1">
      <c r="A2" s="236" t="s">
        <v>110</v>
      </c>
      <c r="B2" s="236"/>
      <c r="C2" s="236"/>
      <c r="D2" s="236"/>
      <c r="E2" s="236"/>
      <c r="F2" s="236"/>
      <c r="G2" s="236"/>
      <c r="H2" s="236"/>
      <c r="I2" s="236"/>
      <c r="J2" s="60"/>
      <c r="K2" s="60"/>
    </row>
    <row r="3" spans="1:9" ht="27" customHeight="1">
      <c r="A3" s="242"/>
      <c r="B3" s="243"/>
      <c r="C3" s="246" t="s">
        <v>80</v>
      </c>
      <c r="D3" s="246" t="s">
        <v>81</v>
      </c>
      <c r="E3" s="237" t="s">
        <v>94</v>
      </c>
      <c r="F3" s="238"/>
      <c r="G3" s="238"/>
      <c r="H3" s="239"/>
      <c r="I3" s="233" t="s">
        <v>97</v>
      </c>
    </row>
    <row r="4" spans="1:9" ht="15">
      <c r="A4" s="244"/>
      <c r="B4" s="245"/>
      <c r="C4" s="247"/>
      <c r="D4" s="247"/>
      <c r="E4" s="240" t="s">
        <v>101</v>
      </c>
      <c r="F4" s="241"/>
      <c r="G4" s="240" t="s">
        <v>102</v>
      </c>
      <c r="H4" s="241"/>
      <c r="I4" s="249"/>
    </row>
    <row r="5" spans="1:9" ht="15">
      <c r="A5" s="244"/>
      <c r="B5" s="245"/>
      <c r="C5" s="248"/>
      <c r="D5" s="248"/>
      <c r="E5" s="53" t="s">
        <v>95</v>
      </c>
      <c r="F5" s="31" t="s">
        <v>96</v>
      </c>
      <c r="G5" s="31" t="s">
        <v>95</v>
      </c>
      <c r="H5" s="31" t="s">
        <v>96</v>
      </c>
      <c r="I5" s="234"/>
    </row>
    <row r="6" spans="1:9" ht="23.25">
      <c r="A6" s="35" t="s">
        <v>87</v>
      </c>
      <c r="B6" s="36" t="s">
        <v>31</v>
      </c>
      <c r="C6" s="37"/>
      <c r="D6" s="37"/>
      <c r="E6" s="37">
        <f>E7+E8+E9+E10+E11+E12+E13+E14</f>
        <v>192.2</v>
      </c>
      <c r="F6" s="37"/>
      <c r="G6" s="37">
        <f>G7+G8+G9+G10+G11+G12+G13+G14</f>
        <v>384</v>
      </c>
      <c r="H6" s="37"/>
      <c r="I6" s="37">
        <f>I7+I8+I9+I10+I11+I12+I13+I14</f>
        <v>15413350</v>
      </c>
    </row>
    <row r="7" spans="1:9" ht="15">
      <c r="A7" s="38">
        <v>1</v>
      </c>
      <c r="B7" s="39" t="s">
        <v>88</v>
      </c>
      <c r="C7" s="39">
        <v>52.8</v>
      </c>
      <c r="D7" s="39">
        <v>34.2</v>
      </c>
      <c r="E7" s="39"/>
      <c r="F7" s="39"/>
      <c r="G7" s="39">
        <v>64</v>
      </c>
      <c r="H7" s="39">
        <v>40</v>
      </c>
      <c r="I7" s="39">
        <f>G7*26750</f>
        <v>1712000</v>
      </c>
    </row>
    <row r="8" spans="1:9" ht="15">
      <c r="A8" s="38">
        <v>2</v>
      </c>
      <c r="B8" s="39" t="s">
        <v>88</v>
      </c>
      <c r="C8" s="39">
        <v>59.8</v>
      </c>
      <c r="D8" s="39">
        <v>37.4</v>
      </c>
      <c r="E8" s="39"/>
      <c r="F8" s="39"/>
      <c r="G8" s="39">
        <v>64</v>
      </c>
      <c r="H8" s="39">
        <v>40</v>
      </c>
      <c r="I8" s="39">
        <f>G8*26750</f>
        <v>1712000</v>
      </c>
    </row>
    <row r="9" spans="1:9" ht="15">
      <c r="A9" s="38">
        <v>3</v>
      </c>
      <c r="B9" s="41" t="s">
        <v>89</v>
      </c>
      <c r="C9" s="41">
        <v>74.5</v>
      </c>
      <c r="D9" s="39">
        <v>49.6</v>
      </c>
      <c r="E9" s="39">
        <v>96.1</v>
      </c>
      <c r="F9" s="39">
        <v>56.7</v>
      </c>
      <c r="G9" s="39"/>
      <c r="H9" s="39"/>
      <c r="I9" s="39">
        <f>E9*26750</f>
        <v>2570675</v>
      </c>
    </row>
    <row r="10" spans="1:9" ht="15">
      <c r="A10" s="38">
        <v>4</v>
      </c>
      <c r="B10" s="39" t="s">
        <v>88</v>
      </c>
      <c r="C10" s="39">
        <v>52.9</v>
      </c>
      <c r="D10" s="39">
        <v>33.8</v>
      </c>
      <c r="E10" s="39"/>
      <c r="F10" s="39"/>
      <c r="G10" s="39">
        <v>64</v>
      </c>
      <c r="H10" s="39">
        <v>40</v>
      </c>
      <c r="I10" s="39">
        <f>G10*26750</f>
        <v>1712000</v>
      </c>
    </row>
    <row r="11" spans="1:9" ht="15">
      <c r="A11" s="38">
        <v>5</v>
      </c>
      <c r="B11" s="39" t="s">
        <v>88</v>
      </c>
      <c r="C11" s="39">
        <v>54.1</v>
      </c>
      <c r="D11" s="39">
        <v>35.3</v>
      </c>
      <c r="E11" s="39"/>
      <c r="F11" s="39"/>
      <c r="G11" s="39">
        <v>64</v>
      </c>
      <c r="H11" s="39">
        <v>40</v>
      </c>
      <c r="I11" s="39">
        <f>G11*26750</f>
        <v>1712000</v>
      </c>
    </row>
    <row r="12" spans="1:9" ht="15">
      <c r="A12" s="38">
        <v>6</v>
      </c>
      <c r="B12" s="39" t="s">
        <v>88</v>
      </c>
      <c r="C12" s="39">
        <v>60.8</v>
      </c>
      <c r="D12" s="39">
        <v>38</v>
      </c>
      <c r="E12" s="39"/>
      <c r="F12" s="39"/>
      <c r="G12" s="39">
        <v>64</v>
      </c>
      <c r="H12" s="39">
        <v>40</v>
      </c>
      <c r="I12" s="39">
        <f>G12*26750</f>
        <v>1712000</v>
      </c>
    </row>
    <row r="13" spans="1:9" ht="15">
      <c r="A13" s="38">
        <v>7</v>
      </c>
      <c r="B13" s="39" t="s">
        <v>89</v>
      </c>
      <c r="C13" s="39">
        <v>75.7</v>
      </c>
      <c r="D13" s="39">
        <v>50</v>
      </c>
      <c r="E13" s="39">
        <v>96.1</v>
      </c>
      <c r="F13" s="39">
        <v>56.7</v>
      </c>
      <c r="G13" s="39"/>
      <c r="H13" s="39"/>
      <c r="I13" s="39">
        <f>E13*26750</f>
        <v>2570675</v>
      </c>
    </row>
    <row r="14" spans="1:9" ht="15">
      <c r="A14" s="38">
        <v>8</v>
      </c>
      <c r="B14" s="39" t="s">
        <v>88</v>
      </c>
      <c r="C14" s="39">
        <v>57.3</v>
      </c>
      <c r="D14" s="39">
        <v>38.2</v>
      </c>
      <c r="E14" s="39"/>
      <c r="F14" s="39"/>
      <c r="G14" s="39">
        <v>64</v>
      </c>
      <c r="H14" s="39">
        <v>40</v>
      </c>
      <c r="I14" s="39">
        <f>G14*26750</f>
        <v>1712000</v>
      </c>
    </row>
    <row r="15" spans="1:9" ht="23.25">
      <c r="A15" s="35"/>
      <c r="B15" s="36" t="s">
        <v>32</v>
      </c>
      <c r="C15" s="37"/>
      <c r="D15" s="37"/>
      <c r="E15" s="37">
        <f>E16+E17+E18+E19+E20+E21+E22+E23+E24+E25+E26+E27+E28+E29</f>
        <v>473.2</v>
      </c>
      <c r="F15" s="37"/>
      <c r="G15" s="37">
        <f>G16+G17+G18+G19+G20+G21+G22+G23+G24+G25+G26+G27+G28+G29</f>
        <v>256</v>
      </c>
      <c r="H15" s="37"/>
      <c r="I15" s="37">
        <f>I16+I17+I18+I19+I20+I21+I22+I23+I24+I25+I26+I27+I28+I29</f>
        <v>19506100</v>
      </c>
    </row>
    <row r="16" spans="1:9" ht="15">
      <c r="A16" s="38">
        <v>1</v>
      </c>
      <c r="B16" s="39" t="s">
        <v>88</v>
      </c>
      <c r="C16" s="39">
        <v>58.5</v>
      </c>
      <c r="D16" s="39">
        <v>36.4</v>
      </c>
      <c r="E16" s="39"/>
      <c r="F16" s="39"/>
      <c r="G16" s="39">
        <v>64</v>
      </c>
      <c r="H16" s="39">
        <v>40</v>
      </c>
      <c r="I16" s="39">
        <f>G16*26750</f>
        <v>1712000</v>
      </c>
    </row>
    <row r="17" spans="1:9" ht="15">
      <c r="A17" s="38">
        <v>2</v>
      </c>
      <c r="B17" s="39" t="s">
        <v>89</v>
      </c>
      <c r="C17" s="39">
        <v>71.2</v>
      </c>
      <c r="D17" s="39">
        <v>51.6</v>
      </c>
      <c r="E17" s="39">
        <v>96.1</v>
      </c>
      <c r="F17" s="39">
        <v>56.7</v>
      </c>
      <c r="G17" s="39"/>
      <c r="H17" s="39"/>
      <c r="I17" s="39">
        <f>E17*26750</f>
        <v>2570675</v>
      </c>
    </row>
    <row r="18" spans="1:9" ht="30">
      <c r="A18" s="38">
        <v>3</v>
      </c>
      <c r="B18" s="42" t="s">
        <v>90</v>
      </c>
      <c r="C18" s="39">
        <v>26.6</v>
      </c>
      <c r="D18" s="39">
        <v>16.7</v>
      </c>
      <c r="E18" s="39">
        <v>39.2</v>
      </c>
      <c r="F18" s="39">
        <v>19.1</v>
      </c>
      <c r="G18" s="39"/>
      <c r="H18" s="39"/>
      <c r="I18" s="39">
        <f>E18*26750</f>
        <v>1048600</v>
      </c>
    </row>
    <row r="19" spans="1:9" ht="15">
      <c r="A19" s="38">
        <v>3</v>
      </c>
      <c r="B19" s="39" t="s">
        <v>88</v>
      </c>
      <c r="C19" s="39">
        <v>56</v>
      </c>
      <c r="D19" s="39"/>
      <c r="E19" s="39">
        <v>57.9</v>
      </c>
      <c r="F19" s="39">
        <v>32.6</v>
      </c>
      <c r="G19" s="39"/>
      <c r="H19" s="39"/>
      <c r="I19" s="39">
        <f>E19*26750</f>
        <v>1548825</v>
      </c>
    </row>
    <row r="20" spans="1:9" ht="30">
      <c r="A20" s="38">
        <v>4</v>
      </c>
      <c r="B20" s="42" t="s">
        <v>91</v>
      </c>
      <c r="C20" s="39">
        <v>48.3</v>
      </c>
      <c r="D20" s="39">
        <v>33.9</v>
      </c>
      <c r="E20" s="39"/>
      <c r="F20" s="39"/>
      <c r="G20" s="39">
        <v>64</v>
      </c>
      <c r="H20" s="39">
        <v>40</v>
      </c>
      <c r="I20" s="39">
        <f>G20*26750</f>
        <v>1712000</v>
      </c>
    </row>
    <row r="21" spans="1:9" ht="30">
      <c r="A21" s="38">
        <v>4</v>
      </c>
      <c r="B21" s="42" t="s">
        <v>90</v>
      </c>
      <c r="C21" s="39">
        <v>22.7</v>
      </c>
      <c r="D21" s="39">
        <v>16</v>
      </c>
      <c r="E21" s="39">
        <v>39.2</v>
      </c>
      <c r="F21" s="39">
        <v>19</v>
      </c>
      <c r="G21" s="39"/>
      <c r="H21" s="39"/>
      <c r="I21" s="39">
        <f>E21*26750</f>
        <v>1048600</v>
      </c>
    </row>
    <row r="22" spans="1:9" ht="30">
      <c r="A22" s="38">
        <v>5</v>
      </c>
      <c r="B22" s="42" t="s">
        <v>91</v>
      </c>
      <c r="C22" s="39">
        <v>51.4</v>
      </c>
      <c r="D22" s="39">
        <v>36.3</v>
      </c>
      <c r="E22" s="39"/>
      <c r="F22" s="39"/>
      <c r="G22" s="39">
        <v>64</v>
      </c>
      <c r="H22" s="39">
        <v>40</v>
      </c>
      <c r="I22" s="39">
        <f>G22*26750</f>
        <v>1712000</v>
      </c>
    </row>
    <row r="23" spans="1:9" ht="30">
      <c r="A23" s="38">
        <v>5</v>
      </c>
      <c r="B23" s="42" t="s">
        <v>90</v>
      </c>
      <c r="C23" s="39">
        <v>20.2</v>
      </c>
      <c r="D23" s="39">
        <v>14.3</v>
      </c>
      <c r="E23" s="39">
        <v>39.2</v>
      </c>
      <c r="F23" s="39">
        <v>19</v>
      </c>
      <c r="G23" s="39"/>
      <c r="H23" s="39"/>
      <c r="I23" s="39">
        <f>E23*26750</f>
        <v>1048600</v>
      </c>
    </row>
    <row r="24" spans="1:9" ht="15">
      <c r="A24" s="38">
        <v>6</v>
      </c>
      <c r="B24" s="39" t="s">
        <v>88</v>
      </c>
      <c r="C24" s="39">
        <v>58.7</v>
      </c>
      <c r="D24" s="39">
        <v>36.4</v>
      </c>
      <c r="E24" s="39"/>
      <c r="F24" s="39"/>
      <c r="G24" s="39">
        <v>64</v>
      </c>
      <c r="H24" s="39">
        <v>40</v>
      </c>
      <c r="I24" s="39">
        <f>G24*26750</f>
        <v>1712000</v>
      </c>
    </row>
    <row r="25" spans="1:9" ht="30">
      <c r="A25" s="38">
        <v>7</v>
      </c>
      <c r="B25" s="42" t="s">
        <v>90</v>
      </c>
      <c r="C25" s="39">
        <v>22.5</v>
      </c>
      <c r="D25" s="39">
        <v>15.9</v>
      </c>
      <c r="E25" s="39">
        <v>39.2</v>
      </c>
      <c r="F25" s="39">
        <v>19</v>
      </c>
      <c r="G25" s="39"/>
      <c r="H25" s="39"/>
      <c r="I25" s="39">
        <f>E25*26750</f>
        <v>1048600</v>
      </c>
    </row>
    <row r="26" spans="1:9" ht="30">
      <c r="A26" s="38">
        <v>7</v>
      </c>
      <c r="B26" s="42" t="s">
        <v>90</v>
      </c>
      <c r="C26" s="39">
        <v>28.3</v>
      </c>
      <c r="D26" s="39">
        <v>20</v>
      </c>
      <c r="E26" s="39">
        <v>42</v>
      </c>
      <c r="F26" s="39">
        <v>21.9</v>
      </c>
      <c r="G26" s="39"/>
      <c r="H26" s="39"/>
      <c r="I26" s="39">
        <f>E26*26750</f>
        <v>1123500</v>
      </c>
    </row>
    <row r="27" spans="1:9" ht="30">
      <c r="A27" s="38">
        <v>7</v>
      </c>
      <c r="B27" s="42" t="s">
        <v>90</v>
      </c>
      <c r="C27" s="39">
        <v>20.5</v>
      </c>
      <c r="D27" s="39">
        <v>14.4</v>
      </c>
      <c r="E27" s="39">
        <v>39.2</v>
      </c>
      <c r="F27" s="39">
        <v>19</v>
      </c>
      <c r="G27" s="39"/>
      <c r="H27" s="39"/>
      <c r="I27" s="39">
        <f>E27*26750</f>
        <v>1048600</v>
      </c>
    </row>
    <row r="28" spans="1:9" ht="30">
      <c r="A28" s="38">
        <v>8</v>
      </c>
      <c r="B28" s="42" t="s">
        <v>90</v>
      </c>
      <c r="C28" s="39">
        <v>26.7</v>
      </c>
      <c r="D28" s="39">
        <v>16.7</v>
      </c>
      <c r="E28" s="39">
        <v>39.2</v>
      </c>
      <c r="F28" s="39">
        <v>19</v>
      </c>
      <c r="G28" s="39"/>
      <c r="H28" s="39"/>
      <c r="I28" s="39">
        <f>E28*26750</f>
        <v>1048600</v>
      </c>
    </row>
    <row r="29" spans="1:9" ht="30">
      <c r="A29" s="38">
        <v>8</v>
      </c>
      <c r="B29" s="42" t="s">
        <v>90</v>
      </c>
      <c r="C29" s="39">
        <v>31.2</v>
      </c>
      <c r="D29" s="39">
        <v>19.5</v>
      </c>
      <c r="E29" s="39">
        <v>42</v>
      </c>
      <c r="F29" s="39">
        <v>21.9</v>
      </c>
      <c r="G29" s="39"/>
      <c r="H29" s="39"/>
      <c r="I29" s="39">
        <f>E29*26750</f>
        <v>1123500</v>
      </c>
    </row>
    <row r="30" spans="1:9" ht="23.25">
      <c r="A30" s="35"/>
      <c r="B30" s="36" t="s">
        <v>33</v>
      </c>
      <c r="C30" s="37"/>
      <c r="D30" s="37"/>
      <c r="E30" s="37">
        <f>E31+E32+E33+E34+E35+E36+E37+E38+E39+E40+E41+E42+E43+E44+E45</f>
        <v>538.5</v>
      </c>
      <c r="F30" s="37"/>
      <c r="G30" s="37">
        <f>G31+G32+G33+G34+G35+G36+G37+G38+G39+G40+G41+G42+G43+G44+G45</f>
        <v>192</v>
      </c>
      <c r="H30" s="37"/>
      <c r="I30" s="37">
        <f>I31+I32+I33+I34+I35+I36+I37+I38+I39+I40+I41+I42+I43+I44+I45</f>
        <v>19540875</v>
      </c>
    </row>
    <row r="31" spans="1:9" ht="15">
      <c r="A31" s="44">
        <v>1</v>
      </c>
      <c r="B31" s="41" t="s">
        <v>88</v>
      </c>
      <c r="C31" s="41">
        <v>59.2</v>
      </c>
      <c r="D31" s="41">
        <v>36.8</v>
      </c>
      <c r="E31" s="41"/>
      <c r="F31" s="41"/>
      <c r="G31" s="41">
        <v>64</v>
      </c>
      <c r="H31" s="41">
        <v>40</v>
      </c>
      <c r="I31" s="39">
        <f>G31*26750</f>
        <v>1712000</v>
      </c>
    </row>
    <row r="32" spans="1:9" ht="15">
      <c r="A32" s="44">
        <v>2</v>
      </c>
      <c r="B32" s="41" t="s">
        <v>89</v>
      </c>
      <c r="C32" s="41">
        <v>70.1</v>
      </c>
      <c r="D32" s="41">
        <v>51.9</v>
      </c>
      <c r="E32" s="41">
        <v>96.1</v>
      </c>
      <c r="F32" s="41">
        <v>56.7</v>
      </c>
      <c r="G32" s="41"/>
      <c r="H32" s="41"/>
      <c r="I32" s="39">
        <f>E32*26750</f>
        <v>2570675</v>
      </c>
    </row>
    <row r="33" spans="1:9" ht="30">
      <c r="A33" s="44">
        <v>3</v>
      </c>
      <c r="B33" s="45" t="s">
        <v>90</v>
      </c>
      <c r="C33" s="41">
        <v>27.8</v>
      </c>
      <c r="D33" s="41">
        <v>19.5</v>
      </c>
      <c r="E33" s="41">
        <v>42</v>
      </c>
      <c r="F33" s="41">
        <v>21.9</v>
      </c>
      <c r="G33" s="41"/>
      <c r="H33" s="41"/>
      <c r="I33" s="39">
        <f>E33*26750</f>
        <v>1123500</v>
      </c>
    </row>
    <row r="34" spans="1:9" ht="30">
      <c r="A34" s="44">
        <v>3</v>
      </c>
      <c r="B34" s="45" t="s">
        <v>90</v>
      </c>
      <c r="C34" s="41">
        <v>31.3</v>
      </c>
      <c r="D34" s="41">
        <v>17</v>
      </c>
      <c r="E34" s="41">
        <v>39.2</v>
      </c>
      <c r="F34" s="41">
        <v>19</v>
      </c>
      <c r="G34" s="41"/>
      <c r="H34" s="41"/>
      <c r="I34" s="39">
        <f>E34*26750</f>
        <v>1048600</v>
      </c>
    </row>
    <row r="35" spans="1:9" ht="30">
      <c r="A35" s="44">
        <v>4</v>
      </c>
      <c r="B35" s="45" t="s">
        <v>90</v>
      </c>
      <c r="C35" s="41">
        <v>21.4</v>
      </c>
      <c r="D35" s="41">
        <v>15.5</v>
      </c>
      <c r="E35" s="41">
        <v>39.2</v>
      </c>
      <c r="F35" s="41">
        <v>19</v>
      </c>
      <c r="G35" s="41"/>
      <c r="H35" s="41"/>
      <c r="I35" s="39">
        <f>E35*26750</f>
        <v>1048600</v>
      </c>
    </row>
    <row r="36" spans="1:9" ht="30">
      <c r="A36" s="44">
        <v>4</v>
      </c>
      <c r="B36" s="45" t="s">
        <v>91</v>
      </c>
      <c r="C36" s="41">
        <v>49.9</v>
      </c>
      <c r="D36" s="41">
        <v>35.9</v>
      </c>
      <c r="E36" s="41"/>
      <c r="F36" s="41"/>
      <c r="G36" s="41">
        <v>64</v>
      </c>
      <c r="H36" s="41">
        <v>40</v>
      </c>
      <c r="I36" s="39">
        <f>G36*26750</f>
        <v>1712000</v>
      </c>
    </row>
    <row r="37" spans="1:9" ht="30">
      <c r="A37" s="44">
        <v>5</v>
      </c>
      <c r="B37" s="45" t="s">
        <v>90</v>
      </c>
      <c r="C37" s="41">
        <v>21.3</v>
      </c>
      <c r="D37" s="41">
        <v>15.4</v>
      </c>
      <c r="E37" s="41">
        <v>39.2</v>
      </c>
      <c r="F37" s="41">
        <v>19</v>
      </c>
      <c r="G37" s="41"/>
      <c r="H37" s="41"/>
      <c r="I37" s="39">
        <f aca="true" t="shared" si="0" ref="I37:I44">E37*26750</f>
        <v>1048600</v>
      </c>
    </row>
    <row r="38" spans="1:9" ht="30">
      <c r="A38" s="44">
        <v>5</v>
      </c>
      <c r="B38" s="45" t="s">
        <v>90</v>
      </c>
      <c r="C38" s="41">
        <v>22.8</v>
      </c>
      <c r="D38" s="41">
        <v>16.7</v>
      </c>
      <c r="E38" s="41">
        <v>39.2</v>
      </c>
      <c r="F38" s="41">
        <v>19</v>
      </c>
      <c r="G38" s="41"/>
      <c r="H38" s="41"/>
      <c r="I38" s="39">
        <f t="shared" si="0"/>
        <v>1048600</v>
      </c>
    </row>
    <row r="39" spans="1:9" ht="30">
      <c r="A39" s="44">
        <v>5</v>
      </c>
      <c r="B39" s="45" t="s">
        <v>90</v>
      </c>
      <c r="C39" s="41">
        <v>29.4</v>
      </c>
      <c r="D39" s="41">
        <v>21</v>
      </c>
      <c r="E39" s="41">
        <v>42</v>
      </c>
      <c r="F39" s="41">
        <v>21.9</v>
      </c>
      <c r="G39" s="41"/>
      <c r="H39" s="41"/>
      <c r="I39" s="39">
        <f t="shared" si="0"/>
        <v>1123500</v>
      </c>
    </row>
    <row r="40" spans="1:9" ht="15">
      <c r="A40" s="44">
        <v>6</v>
      </c>
      <c r="B40" s="45" t="s">
        <v>92</v>
      </c>
      <c r="C40" s="41">
        <f>(42+28)/2</f>
        <v>35</v>
      </c>
      <c r="D40" s="41"/>
      <c r="E40" s="41">
        <v>39.2</v>
      </c>
      <c r="F40" s="41">
        <v>19</v>
      </c>
      <c r="G40" s="41"/>
      <c r="H40" s="41"/>
      <c r="I40" s="39">
        <f t="shared" si="0"/>
        <v>1048600</v>
      </c>
    </row>
    <row r="41" spans="1:9" ht="30">
      <c r="A41" s="44">
        <v>6</v>
      </c>
      <c r="B41" s="45" t="s">
        <v>90</v>
      </c>
      <c r="C41" s="41">
        <v>32.1</v>
      </c>
      <c r="D41" s="41">
        <v>19.3</v>
      </c>
      <c r="E41" s="41">
        <v>42</v>
      </c>
      <c r="F41" s="41">
        <v>21.9</v>
      </c>
      <c r="G41" s="41"/>
      <c r="H41" s="41"/>
      <c r="I41" s="39">
        <f t="shared" si="0"/>
        <v>1123500</v>
      </c>
    </row>
    <row r="42" spans="1:9" ht="30">
      <c r="A42" s="44">
        <v>7</v>
      </c>
      <c r="B42" s="45" t="s">
        <v>90</v>
      </c>
      <c r="C42" s="41">
        <v>28.98</v>
      </c>
      <c r="D42" s="41">
        <v>21.1</v>
      </c>
      <c r="E42" s="41">
        <v>42</v>
      </c>
      <c r="F42" s="41">
        <v>21.9</v>
      </c>
      <c r="G42" s="41"/>
      <c r="H42" s="41"/>
      <c r="I42" s="39">
        <f t="shared" si="0"/>
        <v>1123500</v>
      </c>
    </row>
    <row r="43" spans="1:9" ht="30">
      <c r="A43" s="44">
        <v>7</v>
      </c>
      <c r="B43" s="45" t="s">
        <v>90</v>
      </c>
      <c r="C43" s="41">
        <v>21.56</v>
      </c>
      <c r="D43" s="41">
        <v>15.7</v>
      </c>
      <c r="E43" s="41">
        <v>39.2</v>
      </c>
      <c r="F43" s="41">
        <v>19</v>
      </c>
      <c r="G43" s="41"/>
      <c r="H43" s="41"/>
      <c r="I43" s="39">
        <f t="shared" si="0"/>
        <v>1048600</v>
      </c>
    </row>
    <row r="44" spans="1:9" ht="30">
      <c r="A44" s="44">
        <v>7</v>
      </c>
      <c r="B44" s="45" t="s">
        <v>90</v>
      </c>
      <c r="C44" s="41">
        <v>21.56</v>
      </c>
      <c r="D44" s="41">
        <v>15.7</v>
      </c>
      <c r="E44" s="41">
        <v>39.2</v>
      </c>
      <c r="F44" s="41">
        <v>19</v>
      </c>
      <c r="G44" s="41"/>
      <c r="H44" s="41"/>
      <c r="I44" s="39">
        <f t="shared" si="0"/>
        <v>1048600</v>
      </c>
    </row>
    <row r="45" spans="1:9" ht="15">
      <c r="A45" s="44">
        <v>8</v>
      </c>
      <c r="B45" s="45" t="s">
        <v>88</v>
      </c>
      <c r="C45" s="41">
        <v>59.2</v>
      </c>
      <c r="D45" s="41">
        <v>36.8</v>
      </c>
      <c r="E45" s="41"/>
      <c r="F45" s="41"/>
      <c r="G45" s="41">
        <v>64</v>
      </c>
      <c r="H45" s="41">
        <v>40</v>
      </c>
      <c r="I45" s="39">
        <f>G45*26750</f>
        <v>1712000</v>
      </c>
    </row>
    <row r="46" spans="1:9" ht="15">
      <c r="A46" s="35"/>
      <c r="B46" s="36" t="s">
        <v>36</v>
      </c>
      <c r="C46" s="37"/>
      <c r="D46" s="37"/>
      <c r="E46" s="37">
        <f>E47+E48+E49+E50+E51+E52+E53+E54</f>
        <v>237.89999999999998</v>
      </c>
      <c r="F46" s="37"/>
      <c r="G46" s="37">
        <f>G47+G48+G49+G50+G51+G52+G53+G54</f>
        <v>320</v>
      </c>
      <c r="H46" s="37"/>
      <c r="I46" s="37">
        <f>I47+I48+I49+I50+I51+I52+I53+I54</f>
        <v>14923825</v>
      </c>
    </row>
    <row r="47" spans="1:9" ht="15">
      <c r="A47" s="44">
        <v>1</v>
      </c>
      <c r="B47" s="41" t="s">
        <v>89</v>
      </c>
      <c r="C47" s="41">
        <v>66.9</v>
      </c>
      <c r="D47" s="41">
        <v>45.7</v>
      </c>
      <c r="E47" s="41">
        <v>79.3</v>
      </c>
      <c r="F47" s="41">
        <v>47.9</v>
      </c>
      <c r="G47" s="41"/>
      <c r="H47" s="41"/>
      <c r="I47" s="39">
        <f>E47*26750</f>
        <v>2121275</v>
      </c>
    </row>
    <row r="48" spans="1:9" ht="15">
      <c r="A48" s="44">
        <v>2</v>
      </c>
      <c r="B48" s="41" t="s">
        <v>88</v>
      </c>
      <c r="C48" s="41">
        <v>55.4</v>
      </c>
      <c r="D48" s="41">
        <v>33.9</v>
      </c>
      <c r="E48" s="41"/>
      <c r="F48" s="41"/>
      <c r="G48" s="41">
        <v>64</v>
      </c>
      <c r="H48" s="41">
        <v>40</v>
      </c>
      <c r="I48" s="39">
        <f>G48*26750</f>
        <v>1712000</v>
      </c>
    </row>
    <row r="49" spans="1:9" ht="30">
      <c r="A49" s="44">
        <v>3</v>
      </c>
      <c r="B49" s="45" t="s">
        <v>91</v>
      </c>
      <c r="C49" s="41">
        <v>50.4</v>
      </c>
      <c r="D49" s="41">
        <v>34.3</v>
      </c>
      <c r="E49" s="41"/>
      <c r="F49" s="41"/>
      <c r="G49" s="41">
        <v>64</v>
      </c>
      <c r="H49" s="41">
        <v>40</v>
      </c>
      <c r="I49" s="39">
        <f>G49*26750</f>
        <v>1712000</v>
      </c>
    </row>
    <row r="50" spans="1:9" ht="15">
      <c r="A50" s="44">
        <v>4</v>
      </c>
      <c r="B50" s="41" t="s">
        <v>88</v>
      </c>
      <c r="C50" s="41">
        <v>55.5</v>
      </c>
      <c r="D50" s="41">
        <v>33.8</v>
      </c>
      <c r="E50" s="41"/>
      <c r="F50" s="41"/>
      <c r="G50" s="41">
        <v>64</v>
      </c>
      <c r="H50" s="41">
        <v>40</v>
      </c>
      <c r="I50" s="39">
        <f>G50*26750</f>
        <v>1712000</v>
      </c>
    </row>
    <row r="51" spans="1:9" ht="15">
      <c r="A51" s="44">
        <v>5</v>
      </c>
      <c r="B51" s="41" t="s">
        <v>88</v>
      </c>
      <c r="C51" s="41">
        <v>55.2</v>
      </c>
      <c r="D51" s="41">
        <v>33.5</v>
      </c>
      <c r="E51" s="41"/>
      <c r="F51" s="41"/>
      <c r="G51" s="41">
        <v>64</v>
      </c>
      <c r="H51" s="41">
        <v>40</v>
      </c>
      <c r="I51" s="39">
        <f>G51*26750</f>
        <v>1712000</v>
      </c>
    </row>
    <row r="52" spans="1:9" ht="15">
      <c r="A52" s="44">
        <v>6</v>
      </c>
      <c r="B52" s="41" t="s">
        <v>89</v>
      </c>
      <c r="C52" s="41">
        <v>66.9</v>
      </c>
      <c r="D52" s="41">
        <v>45.2</v>
      </c>
      <c r="E52" s="41">
        <v>79.3</v>
      </c>
      <c r="F52" s="41">
        <v>47.9</v>
      </c>
      <c r="G52" s="41"/>
      <c r="H52" s="41"/>
      <c r="I52" s="39">
        <f>E52*26750</f>
        <v>2121275</v>
      </c>
    </row>
    <row r="53" spans="1:9" ht="15">
      <c r="A53" s="44">
        <v>7</v>
      </c>
      <c r="B53" s="41" t="s">
        <v>88</v>
      </c>
      <c r="C53" s="41">
        <v>55.6</v>
      </c>
      <c r="D53" s="41">
        <v>34.2</v>
      </c>
      <c r="E53" s="41"/>
      <c r="F53" s="41"/>
      <c r="G53" s="41">
        <v>64</v>
      </c>
      <c r="H53" s="41">
        <v>40</v>
      </c>
      <c r="I53" s="39">
        <f>G53*26750</f>
        <v>1712000</v>
      </c>
    </row>
    <row r="54" spans="1:9" ht="15">
      <c r="A54" s="44">
        <v>8</v>
      </c>
      <c r="B54" s="41" t="s">
        <v>89</v>
      </c>
      <c r="C54" s="41">
        <v>70</v>
      </c>
      <c r="D54" s="41">
        <v>45.5</v>
      </c>
      <c r="E54" s="41">
        <v>79.3</v>
      </c>
      <c r="F54" s="41">
        <v>47.9</v>
      </c>
      <c r="G54" s="41"/>
      <c r="H54" s="41"/>
      <c r="I54" s="39">
        <f>E54*26750</f>
        <v>2121275</v>
      </c>
    </row>
    <row r="55" spans="1:9" ht="15">
      <c r="A55" s="35"/>
      <c r="B55" s="36" t="s">
        <v>37</v>
      </c>
      <c r="C55" s="37"/>
      <c r="D55" s="37"/>
      <c r="E55" s="37">
        <f>E56+E57+E58+E59+E60+E61+E62+E63</f>
        <v>518.6999999999999</v>
      </c>
      <c r="F55" s="37"/>
      <c r="G55" s="37">
        <f>G56+G57+G58+G59+G60+G61+G62+G63</f>
        <v>0</v>
      </c>
      <c r="H55" s="37"/>
      <c r="I55" s="37">
        <f>I56+I57+I58+I59+I60+I61+I62+I63</f>
        <v>13875225</v>
      </c>
    </row>
    <row r="56" spans="1:9" ht="15">
      <c r="A56" s="44">
        <v>1</v>
      </c>
      <c r="B56" s="41" t="s">
        <v>88</v>
      </c>
      <c r="C56" s="41">
        <v>44.9</v>
      </c>
      <c r="D56" s="41">
        <v>28.4</v>
      </c>
      <c r="E56" s="41">
        <v>60.4</v>
      </c>
      <c r="F56" s="41">
        <v>29</v>
      </c>
      <c r="G56" s="41"/>
      <c r="H56" s="41"/>
      <c r="I56" s="39">
        <f>E56*26750</f>
        <v>1615700</v>
      </c>
    </row>
    <row r="57" spans="1:9" ht="15">
      <c r="A57" s="44">
        <v>2</v>
      </c>
      <c r="B57" s="41" t="s">
        <v>89</v>
      </c>
      <c r="C57" s="41">
        <v>55.4</v>
      </c>
      <c r="D57" s="41">
        <v>37.1</v>
      </c>
      <c r="E57" s="41">
        <v>79.3</v>
      </c>
      <c r="F57" s="41">
        <v>47.9</v>
      </c>
      <c r="G57" s="41"/>
      <c r="H57" s="41"/>
      <c r="I57" s="39">
        <f aca="true" t="shared" si="1" ref="I57:I63">E57*26750</f>
        <v>2121275</v>
      </c>
    </row>
    <row r="58" spans="1:9" ht="15">
      <c r="A58" s="44">
        <v>4</v>
      </c>
      <c r="B58" s="41" t="s">
        <v>89</v>
      </c>
      <c r="C58" s="41">
        <v>55.7</v>
      </c>
      <c r="D58" s="41">
        <v>37</v>
      </c>
      <c r="E58" s="41">
        <v>79.3</v>
      </c>
      <c r="F58" s="41">
        <v>47.9</v>
      </c>
      <c r="G58" s="41"/>
      <c r="H58" s="41"/>
      <c r="I58" s="39">
        <f t="shared" si="1"/>
        <v>2121275</v>
      </c>
    </row>
    <row r="59" spans="1:9" ht="15">
      <c r="A59" s="44">
        <v>5</v>
      </c>
      <c r="B59" s="41" t="s">
        <v>88</v>
      </c>
      <c r="C59" s="41">
        <v>44.8</v>
      </c>
      <c r="D59" s="41">
        <v>28.2</v>
      </c>
      <c r="E59" s="41">
        <v>60.4</v>
      </c>
      <c r="F59" s="41">
        <v>29</v>
      </c>
      <c r="G59" s="41"/>
      <c r="H59" s="41"/>
      <c r="I59" s="39">
        <f t="shared" si="1"/>
        <v>1615700</v>
      </c>
    </row>
    <row r="60" spans="1:9" ht="15">
      <c r="A60" s="44">
        <v>6</v>
      </c>
      <c r="B60" s="41" t="s">
        <v>89</v>
      </c>
      <c r="C60" s="41">
        <v>55.7</v>
      </c>
      <c r="D60" s="41">
        <v>37</v>
      </c>
      <c r="E60" s="41">
        <v>79.3</v>
      </c>
      <c r="F60" s="41">
        <v>47.9</v>
      </c>
      <c r="G60" s="41"/>
      <c r="H60" s="41"/>
      <c r="I60" s="39">
        <f t="shared" si="1"/>
        <v>2121275</v>
      </c>
    </row>
    <row r="61" spans="1:9" ht="15">
      <c r="A61" s="44">
        <v>7</v>
      </c>
      <c r="B61" s="41" t="s">
        <v>88</v>
      </c>
      <c r="C61" s="41">
        <v>44.2</v>
      </c>
      <c r="D61" s="41">
        <v>28.4</v>
      </c>
      <c r="E61" s="41">
        <v>60.4</v>
      </c>
      <c r="F61" s="41">
        <v>29</v>
      </c>
      <c r="G61" s="41"/>
      <c r="H61" s="41"/>
      <c r="I61" s="39">
        <f t="shared" si="1"/>
        <v>1615700</v>
      </c>
    </row>
    <row r="62" spans="1:9" ht="30">
      <c r="A62" s="44">
        <v>8</v>
      </c>
      <c r="B62" s="45" t="s">
        <v>90</v>
      </c>
      <c r="C62" s="41">
        <v>25</v>
      </c>
      <c r="D62" s="41">
        <v>16.7</v>
      </c>
      <c r="E62" s="41">
        <v>39.2</v>
      </c>
      <c r="F62" s="41">
        <v>19</v>
      </c>
      <c r="G62" s="41"/>
      <c r="H62" s="41"/>
      <c r="I62" s="39">
        <f t="shared" si="1"/>
        <v>1048600</v>
      </c>
    </row>
    <row r="63" spans="1:9" ht="30">
      <c r="A63" s="44">
        <v>8</v>
      </c>
      <c r="B63" s="45" t="s">
        <v>91</v>
      </c>
      <c r="C63" s="41">
        <v>30.6</v>
      </c>
      <c r="D63" s="41">
        <v>20.4</v>
      </c>
      <c r="E63" s="41">
        <v>60.4</v>
      </c>
      <c r="F63" s="41">
        <v>29</v>
      </c>
      <c r="G63" s="41"/>
      <c r="H63" s="41"/>
      <c r="I63" s="39">
        <f t="shared" si="1"/>
        <v>1615700</v>
      </c>
    </row>
    <row r="64" spans="1:9" ht="15">
      <c r="A64" s="35"/>
      <c r="B64" s="36" t="s">
        <v>38</v>
      </c>
      <c r="C64" s="37"/>
      <c r="D64" s="37"/>
      <c r="E64" s="37">
        <f>E65+E66+E67+E68+E69+E70+E71+E72+E73+E74</f>
        <v>357.79999999999995</v>
      </c>
      <c r="F64" s="37"/>
      <c r="G64" s="37">
        <f>G65+G66+G67+G68+G69+G70+G71+G72+G73+G74</f>
        <v>256</v>
      </c>
      <c r="H64" s="37"/>
      <c r="I64" s="37">
        <f>I65+I66+I67+I68+I69+I70+I71+I72+I73+I74</f>
        <v>16419150</v>
      </c>
    </row>
    <row r="65" spans="1:9" ht="15">
      <c r="A65" s="44">
        <v>1</v>
      </c>
      <c r="B65" s="45" t="s">
        <v>89</v>
      </c>
      <c r="C65" s="41">
        <v>66.3</v>
      </c>
      <c r="D65" s="41">
        <v>44.7</v>
      </c>
      <c r="E65" s="41">
        <v>79.3</v>
      </c>
      <c r="F65" s="41">
        <v>47.5</v>
      </c>
      <c r="G65" s="41"/>
      <c r="H65" s="41"/>
      <c r="I65" s="39">
        <f>E65*26750</f>
        <v>2121275</v>
      </c>
    </row>
    <row r="66" spans="1:9" ht="15">
      <c r="A66" s="44">
        <v>2</v>
      </c>
      <c r="B66" s="45" t="s">
        <v>88</v>
      </c>
      <c r="C66" s="41">
        <v>55.2</v>
      </c>
      <c r="D66" s="41">
        <v>34</v>
      </c>
      <c r="E66" s="41"/>
      <c r="F66" s="41"/>
      <c r="G66" s="41">
        <v>64</v>
      </c>
      <c r="H66" s="41">
        <v>40</v>
      </c>
      <c r="I66" s="39">
        <f>G66*26750</f>
        <v>1712000</v>
      </c>
    </row>
    <row r="67" spans="1:9" ht="30">
      <c r="A67" s="44">
        <v>3</v>
      </c>
      <c r="B67" s="45" t="s">
        <v>91</v>
      </c>
      <c r="C67" s="41">
        <v>42.8</v>
      </c>
      <c r="D67" s="41">
        <v>28.9</v>
      </c>
      <c r="E67" s="41">
        <v>60.4</v>
      </c>
      <c r="F67" s="41">
        <v>29</v>
      </c>
      <c r="G67" s="41"/>
      <c r="H67" s="41"/>
      <c r="I67" s="39">
        <f>E67*26750</f>
        <v>1615700</v>
      </c>
    </row>
    <row r="68" spans="1:9" ht="30">
      <c r="A68" s="44">
        <v>3</v>
      </c>
      <c r="B68" s="45" t="s">
        <v>90</v>
      </c>
      <c r="C68" s="41">
        <v>24.4</v>
      </c>
      <c r="D68" s="41">
        <v>16.5</v>
      </c>
      <c r="E68" s="41">
        <v>39.2</v>
      </c>
      <c r="F68" s="41">
        <v>19</v>
      </c>
      <c r="G68" s="41"/>
      <c r="H68" s="41"/>
      <c r="I68" s="39">
        <f>E68*26750</f>
        <v>1048600</v>
      </c>
    </row>
    <row r="69" spans="1:9" ht="15">
      <c r="A69" s="44">
        <v>4</v>
      </c>
      <c r="B69" s="45" t="s">
        <v>88</v>
      </c>
      <c r="C69" s="41">
        <v>55.2</v>
      </c>
      <c r="D69" s="41">
        <v>33.7</v>
      </c>
      <c r="E69" s="41"/>
      <c r="F69" s="41"/>
      <c r="G69" s="41">
        <v>64</v>
      </c>
      <c r="H69" s="41">
        <v>40</v>
      </c>
      <c r="I69" s="39">
        <f>G69*26750</f>
        <v>1712000</v>
      </c>
    </row>
    <row r="70" spans="1:9" ht="15">
      <c r="A70" s="44">
        <v>5</v>
      </c>
      <c r="B70" s="45" t="s">
        <v>88</v>
      </c>
      <c r="C70" s="41">
        <v>55</v>
      </c>
      <c r="D70" s="41">
        <v>33.6</v>
      </c>
      <c r="E70" s="41"/>
      <c r="F70" s="41"/>
      <c r="G70" s="41">
        <v>64</v>
      </c>
      <c r="H70" s="41">
        <v>40</v>
      </c>
      <c r="I70" s="39">
        <f>G70*26750</f>
        <v>1712000</v>
      </c>
    </row>
    <row r="71" spans="1:9" ht="15">
      <c r="A71" s="44">
        <v>6</v>
      </c>
      <c r="B71" s="45" t="s">
        <v>89</v>
      </c>
      <c r="C71" s="41">
        <v>66.9</v>
      </c>
      <c r="D71" s="41">
        <v>45.6</v>
      </c>
      <c r="E71" s="41">
        <v>79.3</v>
      </c>
      <c r="F71" s="41">
        <v>47.9</v>
      </c>
      <c r="G71" s="41"/>
      <c r="H71" s="41"/>
      <c r="I71" s="39">
        <f>E71*26750</f>
        <v>2121275</v>
      </c>
    </row>
    <row r="72" spans="1:9" ht="15">
      <c r="A72" s="44">
        <v>7</v>
      </c>
      <c r="B72" s="45" t="s">
        <v>88</v>
      </c>
      <c r="C72" s="41">
        <v>56.3</v>
      </c>
      <c r="D72" s="41">
        <v>34.8</v>
      </c>
      <c r="E72" s="41"/>
      <c r="F72" s="41"/>
      <c r="G72" s="41">
        <v>64</v>
      </c>
      <c r="H72" s="41">
        <v>40</v>
      </c>
      <c r="I72" s="39">
        <f>G72*26750</f>
        <v>1712000</v>
      </c>
    </row>
    <row r="73" spans="1:9" ht="30">
      <c r="A73" s="44">
        <v>8</v>
      </c>
      <c r="B73" s="45" t="s">
        <v>90</v>
      </c>
      <c r="C73" s="41">
        <v>26.1</v>
      </c>
      <c r="D73" s="41">
        <v>17.8</v>
      </c>
      <c r="E73" s="41">
        <v>39.2</v>
      </c>
      <c r="F73" s="41">
        <v>19</v>
      </c>
      <c r="G73" s="41"/>
      <c r="H73" s="41"/>
      <c r="I73" s="39">
        <f>E73*26750</f>
        <v>1048600</v>
      </c>
    </row>
    <row r="74" spans="1:9" ht="30">
      <c r="A74" s="44">
        <v>8</v>
      </c>
      <c r="B74" s="45" t="s">
        <v>91</v>
      </c>
      <c r="C74" s="41">
        <v>41.1</v>
      </c>
      <c r="D74" s="41">
        <v>28.1</v>
      </c>
      <c r="E74" s="41">
        <v>60.4</v>
      </c>
      <c r="F74" s="41">
        <v>29</v>
      </c>
      <c r="G74" s="41"/>
      <c r="H74" s="41"/>
      <c r="I74" s="39">
        <f>E74*26750</f>
        <v>1615700</v>
      </c>
    </row>
    <row r="75" spans="1:9" ht="15">
      <c r="A75" s="35"/>
      <c r="B75" s="36" t="s">
        <v>39</v>
      </c>
      <c r="C75" s="37"/>
      <c r="D75" s="37"/>
      <c r="E75" s="37">
        <f>E76+E77+E78+E79+E80+E81+E82+E83+E84</f>
        <v>361.1</v>
      </c>
      <c r="F75" s="37"/>
      <c r="G75" s="37">
        <f>G76+G77+G78+G79+G80+G81+G82+G83+G84</f>
        <v>192</v>
      </c>
      <c r="H75" s="37"/>
      <c r="I75" s="37">
        <f>I76+I77+I78+I79+I80+I81+I82+I83+I84</f>
        <v>14795425</v>
      </c>
    </row>
    <row r="76" spans="1:9" ht="15">
      <c r="A76" s="44">
        <v>1</v>
      </c>
      <c r="B76" s="45" t="s">
        <v>89</v>
      </c>
      <c r="C76" s="41">
        <v>67.5</v>
      </c>
      <c r="D76" s="41">
        <v>45.6</v>
      </c>
      <c r="E76" s="41">
        <v>79.3</v>
      </c>
      <c r="F76" s="41">
        <v>47.9</v>
      </c>
      <c r="G76" s="41"/>
      <c r="H76" s="41"/>
      <c r="I76" s="39">
        <f>E76*26750</f>
        <v>2121275</v>
      </c>
    </row>
    <row r="77" spans="1:9" ht="15">
      <c r="A77" s="44">
        <v>2</v>
      </c>
      <c r="B77" s="45" t="s">
        <v>88</v>
      </c>
      <c r="C77" s="41">
        <v>56.2</v>
      </c>
      <c r="D77" s="41">
        <v>34.6</v>
      </c>
      <c r="E77" s="41"/>
      <c r="F77" s="41"/>
      <c r="G77" s="41">
        <v>64</v>
      </c>
      <c r="H77" s="41">
        <v>40</v>
      </c>
      <c r="I77" s="39">
        <f>G77*26750</f>
        <v>1712000</v>
      </c>
    </row>
    <row r="78" spans="1:9" ht="30">
      <c r="A78" s="44">
        <v>3</v>
      </c>
      <c r="B78" s="45" t="s">
        <v>90</v>
      </c>
      <c r="C78" s="41">
        <v>28.4</v>
      </c>
      <c r="D78" s="41">
        <v>19.1</v>
      </c>
      <c r="E78" s="41">
        <v>42</v>
      </c>
      <c r="F78" s="41">
        <v>21.9</v>
      </c>
      <c r="G78" s="41"/>
      <c r="H78" s="41"/>
      <c r="I78" s="39">
        <f>E78*26750</f>
        <v>1123500</v>
      </c>
    </row>
    <row r="79" spans="1:9" ht="30">
      <c r="A79" s="44">
        <v>4</v>
      </c>
      <c r="B79" s="45" t="s">
        <v>91</v>
      </c>
      <c r="C79" s="41">
        <v>56.3</v>
      </c>
      <c r="D79" s="41">
        <v>35.1</v>
      </c>
      <c r="E79" s="41"/>
      <c r="F79" s="41"/>
      <c r="G79" s="41">
        <v>64</v>
      </c>
      <c r="H79" s="41">
        <v>40</v>
      </c>
      <c r="I79" s="39">
        <f>G79*26750</f>
        <v>1712000</v>
      </c>
    </row>
    <row r="80" spans="1:9" ht="15">
      <c r="A80" s="44">
        <v>5</v>
      </c>
      <c r="B80" s="45" t="s">
        <v>88</v>
      </c>
      <c r="C80" s="41">
        <v>55.8</v>
      </c>
      <c r="D80" s="41">
        <v>34.6</v>
      </c>
      <c r="E80" s="41"/>
      <c r="F80" s="41"/>
      <c r="G80" s="41">
        <v>64</v>
      </c>
      <c r="H80" s="41">
        <v>40</v>
      </c>
      <c r="I80" s="39">
        <f>G80*26750</f>
        <v>1712000</v>
      </c>
    </row>
    <row r="81" spans="1:9" ht="15">
      <c r="A81" s="44">
        <v>6</v>
      </c>
      <c r="B81" s="45" t="s">
        <v>89</v>
      </c>
      <c r="C81" s="41">
        <v>67.8</v>
      </c>
      <c r="D81" s="41">
        <v>45.8</v>
      </c>
      <c r="E81" s="41">
        <v>79.3</v>
      </c>
      <c r="F81" s="41">
        <v>47.9</v>
      </c>
      <c r="G81" s="41"/>
      <c r="H81" s="41"/>
      <c r="I81" s="39">
        <f>E81*26750</f>
        <v>2121275</v>
      </c>
    </row>
    <row r="82" spans="1:9" ht="30">
      <c r="A82" s="44">
        <v>7</v>
      </c>
      <c r="B82" s="45" t="s">
        <v>90</v>
      </c>
      <c r="C82" s="41">
        <v>30.8</v>
      </c>
      <c r="D82" s="41">
        <v>19.1</v>
      </c>
      <c r="E82" s="41">
        <v>42</v>
      </c>
      <c r="F82" s="41">
        <v>21.9</v>
      </c>
      <c r="G82" s="41"/>
      <c r="H82" s="41"/>
      <c r="I82" s="39">
        <f>E82*26750</f>
        <v>1123500</v>
      </c>
    </row>
    <row r="83" spans="1:9" ht="30">
      <c r="A83" s="44">
        <v>7</v>
      </c>
      <c r="B83" s="45" t="s">
        <v>90</v>
      </c>
      <c r="C83" s="41">
        <v>24</v>
      </c>
      <c r="D83" s="41">
        <v>14.9</v>
      </c>
      <c r="E83" s="41">
        <v>39.2</v>
      </c>
      <c r="F83" s="41">
        <v>19</v>
      </c>
      <c r="G83" s="41"/>
      <c r="H83" s="41"/>
      <c r="I83" s="39">
        <f>E83*26750</f>
        <v>1048600</v>
      </c>
    </row>
    <row r="84" spans="1:9" ht="15">
      <c r="A84" s="44">
        <v>8</v>
      </c>
      <c r="B84" s="45" t="s">
        <v>89</v>
      </c>
      <c r="C84" s="41">
        <v>66.8</v>
      </c>
      <c r="D84" s="41">
        <v>44.2</v>
      </c>
      <c r="E84" s="41">
        <v>79.3</v>
      </c>
      <c r="F84" s="41">
        <v>47.9</v>
      </c>
      <c r="G84" s="41"/>
      <c r="H84" s="41"/>
      <c r="I84" s="39">
        <f>E84*26750</f>
        <v>2121275</v>
      </c>
    </row>
    <row r="85" spans="1:9" ht="15">
      <c r="A85" s="35"/>
      <c r="B85" s="36" t="s">
        <v>40</v>
      </c>
      <c r="C85" s="37"/>
      <c r="D85" s="37"/>
      <c r="E85" s="37">
        <f>E86+E87+E88+E89+E90+E91+E92</f>
        <v>532.5999999999999</v>
      </c>
      <c r="F85" s="37"/>
      <c r="G85" s="37">
        <f>G86+G87+G88+G89+G90+G91+G92</f>
        <v>0</v>
      </c>
      <c r="H85" s="37"/>
      <c r="I85" s="37">
        <f>I86+I87+I88+I89+I90+I91+I92</f>
        <v>14247050</v>
      </c>
    </row>
    <row r="86" spans="1:9" ht="15">
      <c r="A86" s="44">
        <v>1</v>
      </c>
      <c r="B86" s="181" t="s">
        <v>89</v>
      </c>
      <c r="C86" s="181">
        <v>98</v>
      </c>
      <c r="D86" s="181"/>
      <c r="E86" s="181">
        <f>60.4+39.2</f>
        <v>99.6</v>
      </c>
      <c r="F86" s="181">
        <f>29+19</f>
        <v>48</v>
      </c>
      <c r="G86" s="41"/>
      <c r="H86" s="41"/>
      <c r="I86" s="39">
        <f>E86*26750</f>
        <v>2664300</v>
      </c>
    </row>
    <row r="87" spans="1:9" ht="15">
      <c r="A87" s="44">
        <v>2</v>
      </c>
      <c r="B87" s="41" t="s">
        <v>89</v>
      </c>
      <c r="C87" s="41">
        <v>55.9</v>
      </c>
      <c r="D87" s="41">
        <v>37.9</v>
      </c>
      <c r="E87" s="41">
        <v>79.3</v>
      </c>
      <c r="F87" s="41">
        <v>47.9</v>
      </c>
      <c r="G87" s="41"/>
      <c r="H87" s="41"/>
      <c r="I87" s="39">
        <f aca="true" t="shared" si="2" ref="I87:I92">E87*26750</f>
        <v>2121275</v>
      </c>
    </row>
    <row r="88" spans="1:9" ht="15">
      <c r="A88" s="44">
        <v>3</v>
      </c>
      <c r="B88" s="41" t="s">
        <v>88</v>
      </c>
      <c r="C88" s="41">
        <v>44.1</v>
      </c>
      <c r="D88" s="41">
        <v>28.3</v>
      </c>
      <c r="E88" s="41">
        <v>57.9</v>
      </c>
      <c r="F88" s="41">
        <v>32.6</v>
      </c>
      <c r="G88" s="41"/>
      <c r="H88" s="41"/>
      <c r="I88" s="39">
        <f t="shared" si="2"/>
        <v>1548825</v>
      </c>
    </row>
    <row r="89" spans="1:9" ht="15">
      <c r="A89" s="44">
        <v>4</v>
      </c>
      <c r="B89" s="41" t="s">
        <v>89</v>
      </c>
      <c r="C89" s="41">
        <v>56</v>
      </c>
      <c r="D89" s="41">
        <v>37.8</v>
      </c>
      <c r="E89" s="41">
        <v>79.3</v>
      </c>
      <c r="F89" s="41">
        <v>47.9</v>
      </c>
      <c r="G89" s="41"/>
      <c r="H89" s="41"/>
      <c r="I89" s="39">
        <f t="shared" si="2"/>
        <v>2121275</v>
      </c>
    </row>
    <row r="90" spans="1:9" ht="15">
      <c r="A90" s="44">
        <v>5</v>
      </c>
      <c r="B90" s="41" t="s">
        <v>89</v>
      </c>
      <c r="C90" s="41">
        <v>55.9</v>
      </c>
      <c r="D90" s="41">
        <v>37.8</v>
      </c>
      <c r="E90" s="41">
        <v>79.3</v>
      </c>
      <c r="F90" s="41">
        <v>47.9</v>
      </c>
      <c r="G90" s="41"/>
      <c r="H90" s="41"/>
      <c r="I90" s="39">
        <f t="shared" si="2"/>
        <v>2121275</v>
      </c>
    </row>
    <row r="91" spans="1:9" ht="15">
      <c r="A91" s="44">
        <v>6</v>
      </c>
      <c r="B91" s="41" t="s">
        <v>88</v>
      </c>
      <c r="C91" s="41">
        <v>43.9</v>
      </c>
      <c r="D91" s="41">
        <v>28.2</v>
      </c>
      <c r="E91" s="41">
        <v>57.9</v>
      </c>
      <c r="F91" s="41">
        <v>32.6</v>
      </c>
      <c r="G91" s="41"/>
      <c r="H91" s="41"/>
      <c r="I91" s="39">
        <f t="shared" si="2"/>
        <v>1548825</v>
      </c>
    </row>
    <row r="92" spans="1:9" ht="15">
      <c r="A92" s="44">
        <v>7</v>
      </c>
      <c r="B92" s="41" t="s">
        <v>89</v>
      </c>
      <c r="C92" s="41">
        <v>55.6</v>
      </c>
      <c r="D92" s="41">
        <v>37.7</v>
      </c>
      <c r="E92" s="41">
        <v>79.3</v>
      </c>
      <c r="F92" s="41">
        <v>47.9</v>
      </c>
      <c r="G92" s="41"/>
      <c r="H92" s="41"/>
      <c r="I92" s="39">
        <f t="shared" si="2"/>
        <v>2121275</v>
      </c>
    </row>
    <row r="93" spans="1:9" ht="15">
      <c r="A93" s="35"/>
      <c r="B93" s="36" t="s">
        <v>41</v>
      </c>
      <c r="C93" s="37"/>
      <c r="D93" s="37"/>
      <c r="E93" s="37">
        <f>E94+E95+E96+E97+E98+E99+E100+E101+E102</f>
        <v>585.3</v>
      </c>
      <c r="F93" s="37"/>
      <c r="G93" s="37">
        <f>G94+G95+G96+G97+G98+G99+G100+G101+G102</f>
        <v>0</v>
      </c>
      <c r="H93" s="37"/>
      <c r="I93" s="37">
        <f>I94+I95+I96+I97+I98+I99+I100+I101+I102</f>
        <v>15656775</v>
      </c>
    </row>
    <row r="94" spans="1:9" ht="30">
      <c r="A94" s="44">
        <v>1</v>
      </c>
      <c r="B94" s="45" t="s">
        <v>91</v>
      </c>
      <c r="C94" s="41">
        <v>38.7</v>
      </c>
      <c r="D94" s="41">
        <v>28.3</v>
      </c>
      <c r="E94" s="41">
        <v>57.9</v>
      </c>
      <c r="F94" s="41">
        <v>32.6</v>
      </c>
      <c r="G94" s="41"/>
      <c r="H94" s="41"/>
      <c r="I94" s="39">
        <f>E94*26750</f>
        <v>1548825</v>
      </c>
    </row>
    <row r="95" spans="1:9" ht="15">
      <c r="A95" s="44">
        <v>2</v>
      </c>
      <c r="B95" s="45" t="s">
        <v>88</v>
      </c>
      <c r="C95" s="41">
        <v>43</v>
      </c>
      <c r="D95" s="41">
        <v>29</v>
      </c>
      <c r="E95" s="41">
        <v>57.9</v>
      </c>
      <c r="F95" s="41">
        <v>32.6</v>
      </c>
      <c r="G95" s="41"/>
      <c r="H95" s="41"/>
      <c r="I95" s="39">
        <f aca="true" t="shared" si="3" ref="I95:I102">E95*26750</f>
        <v>1548825</v>
      </c>
    </row>
    <row r="96" spans="1:9" ht="15">
      <c r="A96" s="44">
        <v>3</v>
      </c>
      <c r="B96" s="45" t="s">
        <v>89</v>
      </c>
      <c r="C96" s="41">
        <v>54.9</v>
      </c>
      <c r="D96" s="41">
        <v>39.3</v>
      </c>
      <c r="E96" s="41">
        <v>79.3</v>
      </c>
      <c r="F96" s="41">
        <v>47.9</v>
      </c>
      <c r="G96" s="41"/>
      <c r="H96" s="41"/>
      <c r="I96" s="39">
        <f t="shared" si="3"/>
        <v>2121275</v>
      </c>
    </row>
    <row r="97" spans="1:9" ht="15">
      <c r="A97" s="44">
        <v>4</v>
      </c>
      <c r="B97" s="45" t="s">
        <v>88</v>
      </c>
      <c r="C97" s="41">
        <v>43.9</v>
      </c>
      <c r="D97" s="41">
        <v>29.3</v>
      </c>
      <c r="E97" s="41">
        <v>57.9</v>
      </c>
      <c r="F97" s="41">
        <v>32.6</v>
      </c>
      <c r="G97" s="41"/>
      <c r="H97" s="41"/>
      <c r="I97" s="39">
        <f t="shared" si="3"/>
        <v>1548825</v>
      </c>
    </row>
    <row r="98" spans="1:9" ht="15">
      <c r="A98" s="44">
        <v>5</v>
      </c>
      <c r="B98" s="45" t="s">
        <v>88</v>
      </c>
      <c r="C98" s="41">
        <v>44.5</v>
      </c>
      <c r="D98" s="41">
        <v>29.3</v>
      </c>
      <c r="E98" s="41">
        <v>57.9</v>
      </c>
      <c r="F98" s="41">
        <v>32.6</v>
      </c>
      <c r="G98" s="41"/>
      <c r="H98" s="41"/>
      <c r="I98" s="39">
        <f t="shared" si="3"/>
        <v>1548825</v>
      </c>
    </row>
    <row r="99" spans="1:9" ht="15">
      <c r="A99" s="44">
        <v>6</v>
      </c>
      <c r="B99" s="45" t="s">
        <v>89</v>
      </c>
      <c r="C99" s="41">
        <v>54</v>
      </c>
      <c r="D99" s="41">
        <v>39.4</v>
      </c>
      <c r="E99" s="41">
        <v>79.3</v>
      </c>
      <c r="F99" s="41">
        <v>47.9</v>
      </c>
      <c r="G99" s="41"/>
      <c r="H99" s="41"/>
      <c r="I99" s="39">
        <f t="shared" si="3"/>
        <v>2121275</v>
      </c>
    </row>
    <row r="100" spans="1:9" ht="15">
      <c r="A100" s="44"/>
      <c r="B100" s="45" t="s">
        <v>88</v>
      </c>
      <c r="C100" s="41">
        <v>56</v>
      </c>
      <c r="D100" s="41"/>
      <c r="E100" s="41">
        <v>57.9</v>
      </c>
      <c r="F100" s="41">
        <v>32.6</v>
      </c>
      <c r="G100" s="41"/>
      <c r="H100" s="41"/>
      <c r="I100" s="39">
        <f t="shared" si="3"/>
        <v>1548825</v>
      </c>
    </row>
    <row r="101" spans="1:9" ht="15">
      <c r="A101" s="44">
        <v>7</v>
      </c>
      <c r="B101" s="45" t="s">
        <v>89</v>
      </c>
      <c r="C101" s="41">
        <v>54.8</v>
      </c>
      <c r="D101" s="41">
        <v>39.7</v>
      </c>
      <c r="E101" s="41">
        <v>79.3</v>
      </c>
      <c r="F101" s="41">
        <v>47.9</v>
      </c>
      <c r="G101" s="41"/>
      <c r="H101" s="41"/>
      <c r="I101" s="39">
        <f t="shared" si="3"/>
        <v>2121275</v>
      </c>
    </row>
    <row r="102" spans="1:9" ht="15">
      <c r="A102" s="44">
        <v>8</v>
      </c>
      <c r="B102" s="45" t="s">
        <v>88</v>
      </c>
      <c r="C102" s="41">
        <v>44</v>
      </c>
      <c r="D102" s="41">
        <v>28.8</v>
      </c>
      <c r="E102" s="41">
        <v>57.9</v>
      </c>
      <c r="F102" s="41">
        <v>32.6</v>
      </c>
      <c r="G102" s="41"/>
      <c r="H102" s="41"/>
      <c r="I102" s="39">
        <f t="shared" si="3"/>
        <v>1548825</v>
      </c>
    </row>
    <row r="103" spans="1:9" ht="23.25">
      <c r="A103" s="35"/>
      <c r="B103" s="36" t="s">
        <v>42</v>
      </c>
      <c r="C103" s="37"/>
      <c r="D103" s="37"/>
      <c r="E103" s="37">
        <f>E104+E105+E106+E107+E108+E109+E110+E111+E112+E113+E114+E115</f>
        <v>758.9999999999999</v>
      </c>
      <c r="F103" s="37"/>
      <c r="G103" s="37">
        <f>G104+G105+G106+G107+G108+G109+G110+G111+G112+G113+G114+G115</f>
        <v>0</v>
      </c>
      <c r="H103" s="37"/>
      <c r="I103" s="37">
        <f>I104+I105+I106+I107+I108+I109+I110+I111+I112+I113+I114+I115</f>
        <v>20303250</v>
      </c>
    </row>
    <row r="104" spans="1:9" ht="15">
      <c r="A104" s="44">
        <v>1</v>
      </c>
      <c r="B104" s="41" t="s">
        <v>88</v>
      </c>
      <c r="C104" s="41">
        <v>41.4</v>
      </c>
      <c r="D104" s="41">
        <v>24</v>
      </c>
      <c r="E104" s="41">
        <v>57.9</v>
      </c>
      <c r="F104" s="41">
        <v>32.6</v>
      </c>
      <c r="G104" s="41"/>
      <c r="H104" s="41"/>
      <c r="I104" s="39">
        <f>E104*26750</f>
        <v>1548825</v>
      </c>
    </row>
    <row r="105" spans="1:9" ht="15">
      <c r="A105" s="44">
        <v>2</v>
      </c>
      <c r="B105" s="41" t="s">
        <v>88</v>
      </c>
      <c r="C105" s="41">
        <v>44.8</v>
      </c>
      <c r="D105" s="41">
        <v>27.2</v>
      </c>
      <c r="E105" s="41">
        <v>57.9</v>
      </c>
      <c r="F105" s="41">
        <v>32.6</v>
      </c>
      <c r="G105" s="41"/>
      <c r="H105" s="41"/>
      <c r="I105" s="39">
        <f aca="true" t="shared" si="4" ref="I105:I115">E105*26750</f>
        <v>1548825</v>
      </c>
    </row>
    <row r="106" spans="1:9" ht="30">
      <c r="A106" s="44">
        <v>3</v>
      </c>
      <c r="B106" s="46" t="s">
        <v>91</v>
      </c>
      <c r="C106" s="41">
        <v>42.01</v>
      </c>
      <c r="D106" s="41">
        <v>28.2</v>
      </c>
      <c r="E106" s="41">
        <v>57.9</v>
      </c>
      <c r="F106" s="41">
        <v>32.6</v>
      </c>
      <c r="G106" s="41"/>
      <c r="H106" s="41"/>
      <c r="I106" s="39">
        <f t="shared" si="4"/>
        <v>1548825</v>
      </c>
    </row>
    <row r="107" spans="1:9" ht="15">
      <c r="A107" s="44">
        <v>4</v>
      </c>
      <c r="B107" s="41" t="s">
        <v>88</v>
      </c>
      <c r="C107" s="41">
        <v>40.8</v>
      </c>
      <c r="D107" s="41">
        <v>23.6</v>
      </c>
      <c r="E107" s="41">
        <v>57.9</v>
      </c>
      <c r="F107" s="41">
        <v>32.6</v>
      </c>
      <c r="G107" s="41"/>
      <c r="H107" s="41"/>
      <c r="I107" s="39">
        <f t="shared" si="4"/>
        <v>1548825</v>
      </c>
    </row>
    <row r="108" spans="1:9" ht="15">
      <c r="A108" s="44">
        <v>5</v>
      </c>
      <c r="B108" s="41" t="s">
        <v>88</v>
      </c>
      <c r="C108" s="41">
        <v>44.9</v>
      </c>
      <c r="D108" s="41">
        <v>27.6</v>
      </c>
      <c r="E108" s="41">
        <v>57.9</v>
      </c>
      <c r="F108" s="41">
        <v>32.6</v>
      </c>
      <c r="G108" s="41"/>
      <c r="H108" s="41"/>
      <c r="I108" s="39">
        <f t="shared" si="4"/>
        <v>1548825</v>
      </c>
    </row>
    <row r="109" spans="1:9" ht="15">
      <c r="A109" s="44">
        <v>6</v>
      </c>
      <c r="B109" s="41" t="s">
        <v>89</v>
      </c>
      <c r="C109" s="41">
        <v>65.9</v>
      </c>
      <c r="D109" s="41">
        <v>44.1</v>
      </c>
      <c r="E109" s="41">
        <v>79.3</v>
      </c>
      <c r="F109" s="41">
        <v>47.9</v>
      </c>
      <c r="G109" s="41"/>
      <c r="H109" s="41"/>
      <c r="I109" s="39">
        <f t="shared" si="4"/>
        <v>2121275</v>
      </c>
    </row>
    <row r="110" spans="1:9" ht="15">
      <c r="A110" s="44">
        <v>7</v>
      </c>
      <c r="B110" s="41" t="s">
        <v>89</v>
      </c>
      <c r="C110" s="41">
        <v>65.7</v>
      </c>
      <c r="D110" s="41">
        <v>44.2</v>
      </c>
      <c r="E110" s="41">
        <v>79.3</v>
      </c>
      <c r="F110" s="41">
        <v>47.9</v>
      </c>
      <c r="G110" s="41"/>
      <c r="H110" s="41"/>
      <c r="I110" s="39">
        <f t="shared" si="4"/>
        <v>2121275</v>
      </c>
    </row>
    <row r="111" spans="1:9" ht="15">
      <c r="A111" s="44">
        <v>8</v>
      </c>
      <c r="B111" s="41" t="s">
        <v>88</v>
      </c>
      <c r="C111" s="41">
        <v>41.7</v>
      </c>
      <c r="D111" s="41">
        <v>24</v>
      </c>
      <c r="E111" s="41">
        <v>57.9</v>
      </c>
      <c r="F111" s="41">
        <v>32.6</v>
      </c>
      <c r="G111" s="41"/>
      <c r="H111" s="41"/>
      <c r="I111" s="39">
        <f t="shared" si="4"/>
        <v>1548825</v>
      </c>
    </row>
    <row r="112" spans="1:9" ht="15">
      <c r="A112" s="44">
        <v>9</v>
      </c>
      <c r="B112" s="41" t="s">
        <v>88</v>
      </c>
      <c r="C112" s="41">
        <v>46</v>
      </c>
      <c r="D112" s="41">
        <v>28.1</v>
      </c>
      <c r="E112" s="41">
        <v>57.9</v>
      </c>
      <c r="F112" s="41">
        <v>32.6</v>
      </c>
      <c r="G112" s="41"/>
      <c r="H112" s="41"/>
      <c r="I112" s="39">
        <f t="shared" si="4"/>
        <v>1548825</v>
      </c>
    </row>
    <row r="113" spans="1:9" ht="15">
      <c r="A113" s="44">
        <v>10</v>
      </c>
      <c r="B113" s="41" t="s">
        <v>89</v>
      </c>
      <c r="C113" s="41">
        <v>66.2</v>
      </c>
      <c r="D113" s="41">
        <v>44.3</v>
      </c>
      <c r="E113" s="41">
        <v>79.3</v>
      </c>
      <c r="F113" s="41">
        <v>47.9</v>
      </c>
      <c r="G113" s="41"/>
      <c r="H113" s="41"/>
      <c r="I113" s="39">
        <f t="shared" si="4"/>
        <v>2121275</v>
      </c>
    </row>
    <row r="114" spans="1:9" ht="15">
      <c r="A114" s="44">
        <v>11</v>
      </c>
      <c r="B114" s="41" t="s">
        <v>88</v>
      </c>
      <c r="C114" s="41">
        <v>44.7</v>
      </c>
      <c r="D114" s="41">
        <v>27.3</v>
      </c>
      <c r="E114" s="41">
        <v>57.9</v>
      </c>
      <c r="F114" s="41">
        <v>32.6</v>
      </c>
      <c r="G114" s="41"/>
      <c r="H114" s="41"/>
      <c r="I114" s="39">
        <f t="shared" si="4"/>
        <v>1548825</v>
      </c>
    </row>
    <row r="115" spans="1:9" ht="15">
      <c r="A115" s="44">
        <v>12</v>
      </c>
      <c r="B115" s="41" t="s">
        <v>88</v>
      </c>
      <c r="C115" s="41">
        <v>42.6</v>
      </c>
      <c r="D115" s="41">
        <v>24.9</v>
      </c>
      <c r="E115" s="41">
        <v>57.9</v>
      </c>
      <c r="F115" s="41">
        <v>32.6</v>
      </c>
      <c r="G115" s="41"/>
      <c r="H115" s="41"/>
      <c r="I115" s="39">
        <f t="shared" si="4"/>
        <v>1548825</v>
      </c>
    </row>
    <row r="116" spans="1:9" ht="23.25">
      <c r="A116" s="35"/>
      <c r="B116" s="36" t="s">
        <v>43</v>
      </c>
      <c r="C116" s="37"/>
      <c r="D116" s="37"/>
      <c r="E116" s="37">
        <f>E117+E118+E119+E120+E121+E122+E123+E124</f>
        <v>428.49999999999994</v>
      </c>
      <c r="F116" s="37"/>
      <c r="G116" s="37">
        <f>G117+G118+G119+G120+G121+G122+G123+G124</f>
        <v>0</v>
      </c>
      <c r="H116" s="37"/>
      <c r="I116" s="37">
        <f>I117+I118+I119+I120+I121+I122+I123+I124</f>
        <v>11462375</v>
      </c>
    </row>
    <row r="117" spans="1:9" ht="15">
      <c r="A117" s="44">
        <v>2</v>
      </c>
      <c r="B117" s="41" t="s">
        <v>88</v>
      </c>
      <c r="C117" s="41">
        <v>33.8</v>
      </c>
      <c r="D117" s="41">
        <v>23.5</v>
      </c>
      <c r="E117" s="41">
        <v>57.9</v>
      </c>
      <c r="F117" s="41">
        <v>32.6</v>
      </c>
      <c r="G117" s="41"/>
      <c r="H117" s="41"/>
      <c r="I117" s="39">
        <f>E117*26750</f>
        <v>1548825</v>
      </c>
    </row>
    <row r="118" spans="1:9" ht="15">
      <c r="A118" s="44">
        <v>3</v>
      </c>
      <c r="B118" s="41" t="s">
        <v>92</v>
      </c>
      <c r="C118" s="41">
        <v>21.8</v>
      </c>
      <c r="D118" s="41">
        <v>15.4</v>
      </c>
      <c r="E118" s="41">
        <v>39.2</v>
      </c>
      <c r="F118" s="41">
        <v>19</v>
      </c>
      <c r="G118" s="41"/>
      <c r="H118" s="41"/>
      <c r="I118" s="39">
        <f aca="true" t="shared" si="5" ref="I118:I124">E118*26750</f>
        <v>1048600</v>
      </c>
    </row>
    <row r="119" spans="1:9" ht="15">
      <c r="A119" s="44">
        <v>4</v>
      </c>
      <c r="B119" s="41" t="s">
        <v>92</v>
      </c>
      <c r="C119" s="41">
        <f>(20+40)/2</f>
        <v>30</v>
      </c>
      <c r="D119" s="41">
        <v>13.2</v>
      </c>
      <c r="E119" s="41">
        <v>39.2</v>
      </c>
      <c r="F119" s="41">
        <v>19</v>
      </c>
      <c r="G119" s="41"/>
      <c r="H119" s="41"/>
      <c r="I119" s="39">
        <f t="shared" si="5"/>
        <v>1048600</v>
      </c>
    </row>
    <row r="120" spans="1:9" ht="15">
      <c r="A120" s="44">
        <v>6</v>
      </c>
      <c r="B120" s="41" t="s">
        <v>88</v>
      </c>
      <c r="C120" s="41">
        <v>41.4</v>
      </c>
      <c r="D120" s="41">
        <v>28.7</v>
      </c>
      <c r="E120" s="41">
        <v>57.9</v>
      </c>
      <c r="F120" s="41">
        <v>32.6</v>
      </c>
      <c r="G120" s="41"/>
      <c r="H120" s="41"/>
      <c r="I120" s="39">
        <f t="shared" si="5"/>
        <v>1548825</v>
      </c>
    </row>
    <row r="121" spans="1:9" ht="15">
      <c r="A121" s="44">
        <v>8</v>
      </c>
      <c r="B121" s="41" t="s">
        <v>89</v>
      </c>
      <c r="C121" s="41">
        <v>30.2</v>
      </c>
      <c r="D121" s="41">
        <v>25.4</v>
      </c>
      <c r="E121" s="41">
        <v>79.3</v>
      </c>
      <c r="F121" s="41">
        <v>47.9</v>
      </c>
      <c r="G121" s="41"/>
      <c r="H121" s="41"/>
      <c r="I121" s="39">
        <f t="shared" si="5"/>
        <v>2121275</v>
      </c>
    </row>
    <row r="122" spans="1:9" ht="15">
      <c r="A122" s="44">
        <v>9</v>
      </c>
      <c r="B122" s="41" t="s">
        <v>92</v>
      </c>
      <c r="C122" s="41">
        <v>28.4</v>
      </c>
      <c r="D122" s="41">
        <v>12.8</v>
      </c>
      <c r="E122" s="41">
        <v>39.2</v>
      </c>
      <c r="F122" s="41">
        <v>19</v>
      </c>
      <c r="G122" s="41"/>
      <c r="H122" s="41"/>
      <c r="I122" s="39">
        <f t="shared" si="5"/>
        <v>1048600</v>
      </c>
    </row>
    <row r="123" spans="1:9" ht="15">
      <c r="A123" s="44">
        <v>10</v>
      </c>
      <c r="B123" s="41" t="s">
        <v>88</v>
      </c>
      <c r="C123" s="41">
        <v>31.8</v>
      </c>
      <c r="D123" s="41">
        <v>21.6</v>
      </c>
      <c r="E123" s="41">
        <v>57.9</v>
      </c>
      <c r="F123" s="41">
        <v>32.6</v>
      </c>
      <c r="G123" s="41"/>
      <c r="H123" s="41"/>
      <c r="I123" s="39">
        <f t="shared" si="5"/>
        <v>1548825</v>
      </c>
    </row>
    <row r="124" spans="1:9" ht="15">
      <c r="A124" s="44">
        <v>11</v>
      </c>
      <c r="B124" s="41" t="s">
        <v>88</v>
      </c>
      <c r="C124" s="41">
        <v>46.4</v>
      </c>
      <c r="D124" s="41">
        <v>28.7</v>
      </c>
      <c r="E124" s="41">
        <v>57.9</v>
      </c>
      <c r="F124" s="41">
        <v>32.6</v>
      </c>
      <c r="G124" s="41"/>
      <c r="H124" s="41"/>
      <c r="I124" s="39">
        <f t="shared" si="5"/>
        <v>1548825</v>
      </c>
    </row>
    <row r="125" spans="1:9" ht="15">
      <c r="A125" s="35"/>
      <c r="B125" s="36" t="s">
        <v>44</v>
      </c>
      <c r="C125" s="37"/>
      <c r="D125" s="37"/>
      <c r="E125" s="37">
        <f>E126+E127+E128+E129+E130+E131+E132+E133+E134+E135+E136</f>
        <v>669.1</v>
      </c>
      <c r="F125" s="37"/>
      <c r="G125" s="37">
        <f>G126+G127+G128+G129+G130+G131+G132+G133+G134+G135+G136</f>
        <v>0</v>
      </c>
      <c r="H125" s="37"/>
      <c r="I125" s="37">
        <f>I126+I127+I128+I129+I130+I131+I132+I133+I134+I135+I136</f>
        <v>17898425</v>
      </c>
    </row>
    <row r="126" spans="1:9" ht="15">
      <c r="A126" s="44">
        <v>1</v>
      </c>
      <c r="B126" s="47" t="s">
        <v>89</v>
      </c>
      <c r="C126" s="48">
        <v>60.2</v>
      </c>
      <c r="D126" s="48">
        <v>44.2</v>
      </c>
      <c r="E126" s="48">
        <v>79.3</v>
      </c>
      <c r="F126" s="49">
        <v>47.9</v>
      </c>
      <c r="G126" s="49"/>
      <c r="H126" s="48"/>
      <c r="I126" s="39">
        <f>E126*26750</f>
        <v>2121275</v>
      </c>
    </row>
    <row r="127" spans="1:9" ht="15">
      <c r="A127" s="44">
        <v>2</v>
      </c>
      <c r="B127" s="50" t="s">
        <v>89</v>
      </c>
      <c r="C127" s="51">
        <v>60.2</v>
      </c>
      <c r="D127" s="51">
        <v>44.3</v>
      </c>
      <c r="E127" s="30">
        <v>79.3</v>
      </c>
      <c r="F127" s="49">
        <v>47.9</v>
      </c>
      <c r="G127" s="49"/>
      <c r="H127" s="51"/>
      <c r="I127" s="39">
        <f aca="true" t="shared" si="6" ref="I127:I136">E127*26750</f>
        <v>2121275</v>
      </c>
    </row>
    <row r="128" spans="1:9" ht="30">
      <c r="A128" s="44">
        <v>3</v>
      </c>
      <c r="B128" s="50" t="s">
        <v>90</v>
      </c>
      <c r="C128" s="51">
        <v>15.6</v>
      </c>
      <c r="D128" s="51">
        <v>11.4</v>
      </c>
      <c r="E128" s="51">
        <v>39.2</v>
      </c>
      <c r="F128" s="49">
        <v>19</v>
      </c>
      <c r="G128" s="49"/>
      <c r="H128" s="51"/>
      <c r="I128" s="39">
        <f t="shared" si="6"/>
        <v>1048600</v>
      </c>
    </row>
    <row r="129" spans="1:9" ht="30">
      <c r="A129" s="44">
        <v>3</v>
      </c>
      <c r="B129" s="50" t="s">
        <v>90</v>
      </c>
      <c r="C129" s="51">
        <v>19.1</v>
      </c>
      <c r="D129" s="51">
        <v>14</v>
      </c>
      <c r="E129" s="51">
        <v>39.2</v>
      </c>
      <c r="F129" s="49">
        <v>19</v>
      </c>
      <c r="G129" s="49"/>
      <c r="H129" s="51"/>
      <c r="I129" s="39">
        <f t="shared" si="6"/>
        <v>1048600</v>
      </c>
    </row>
    <row r="130" spans="1:9" ht="30">
      <c r="A130" s="44">
        <v>3</v>
      </c>
      <c r="B130" s="50" t="s">
        <v>90</v>
      </c>
      <c r="C130" s="51">
        <v>25.7</v>
      </c>
      <c r="D130" s="51">
        <v>18.8</v>
      </c>
      <c r="E130" s="51">
        <v>39.2</v>
      </c>
      <c r="F130" s="49">
        <v>19</v>
      </c>
      <c r="G130" s="49"/>
      <c r="H130" s="51"/>
      <c r="I130" s="39">
        <f t="shared" si="6"/>
        <v>1048600</v>
      </c>
    </row>
    <row r="131" spans="1:9" ht="30">
      <c r="A131" s="44">
        <v>4</v>
      </c>
      <c r="B131" s="50" t="s">
        <v>91</v>
      </c>
      <c r="C131" s="51">
        <v>35.6</v>
      </c>
      <c r="D131" s="51">
        <v>26.6</v>
      </c>
      <c r="E131" s="51">
        <v>57.9</v>
      </c>
      <c r="F131" s="49">
        <v>32.6</v>
      </c>
      <c r="G131" s="49"/>
      <c r="H131" s="51"/>
      <c r="I131" s="39">
        <f t="shared" si="6"/>
        <v>1548825</v>
      </c>
    </row>
    <row r="132" spans="1:9" ht="15">
      <c r="A132" s="44">
        <v>5</v>
      </c>
      <c r="B132" s="50" t="s">
        <v>89</v>
      </c>
      <c r="C132" s="51">
        <v>59.9</v>
      </c>
      <c r="D132" s="51">
        <v>43.9</v>
      </c>
      <c r="E132" s="51">
        <v>79.3</v>
      </c>
      <c r="F132" s="49">
        <v>47.9</v>
      </c>
      <c r="G132" s="49"/>
      <c r="H132" s="51"/>
      <c r="I132" s="39">
        <f t="shared" si="6"/>
        <v>2121275</v>
      </c>
    </row>
    <row r="133" spans="1:9" ht="15">
      <c r="A133" s="44">
        <v>6</v>
      </c>
      <c r="B133" s="50" t="s">
        <v>89</v>
      </c>
      <c r="C133" s="51">
        <v>59.8</v>
      </c>
      <c r="D133" s="51">
        <v>43.5</v>
      </c>
      <c r="E133" s="51">
        <v>79.3</v>
      </c>
      <c r="F133" s="49">
        <v>47.9</v>
      </c>
      <c r="G133" s="49"/>
      <c r="H133" s="51"/>
      <c r="I133" s="39">
        <f t="shared" si="6"/>
        <v>2121275</v>
      </c>
    </row>
    <row r="134" spans="1:9" ht="30">
      <c r="A134" s="44">
        <v>7</v>
      </c>
      <c r="B134" s="50" t="s">
        <v>91</v>
      </c>
      <c r="C134" s="51">
        <v>40.8</v>
      </c>
      <c r="D134" s="51">
        <v>30</v>
      </c>
      <c r="E134" s="51">
        <v>57.9</v>
      </c>
      <c r="F134" s="49">
        <v>32.6</v>
      </c>
      <c r="G134" s="49"/>
      <c r="H134" s="51"/>
      <c r="I134" s="39">
        <f t="shared" si="6"/>
        <v>1548825</v>
      </c>
    </row>
    <row r="135" spans="1:9" ht="30">
      <c r="A135" s="44">
        <v>7</v>
      </c>
      <c r="B135" s="50" t="s">
        <v>90</v>
      </c>
      <c r="C135" s="51">
        <v>19.1</v>
      </c>
      <c r="D135" s="51">
        <v>14</v>
      </c>
      <c r="E135" s="51">
        <v>39.2</v>
      </c>
      <c r="F135" s="49">
        <v>19</v>
      </c>
      <c r="G135" s="49"/>
      <c r="H135" s="51"/>
      <c r="I135" s="39">
        <f t="shared" si="6"/>
        <v>1048600</v>
      </c>
    </row>
    <row r="136" spans="1:9" ht="15">
      <c r="A136" s="44">
        <v>8</v>
      </c>
      <c r="B136" s="50" t="s">
        <v>89</v>
      </c>
      <c r="C136" s="51">
        <v>61.2</v>
      </c>
      <c r="D136" s="51">
        <v>44.9</v>
      </c>
      <c r="E136" s="51">
        <v>79.3</v>
      </c>
      <c r="F136" s="49">
        <v>47.9</v>
      </c>
      <c r="G136" s="49"/>
      <c r="H136" s="51"/>
      <c r="I136" s="39">
        <f t="shared" si="6"/>
        <v>2121275</v>
      </c>
    </row>
    <row r="137" spans="1:10" ht="12.75">
      <c r="A137" s="15"/>
      <c r="B137" s="15"/>
      <c r="C137" s="8"/>
      <c r="D137" s="8"/>
      <c r="E137" s="8">
        <f>E6+E15+E30+E46+E55+E64+E75+E85+E93+E103+E116+E125</f>
        <v>5653.900000000001</v>
      </c>
      <c r="F137" s="8"/>
      <c r="G137" s="8">
        <f>G6+G15+G30+G46+G55+G64+G75+G85+G93+G103+G116+G125</f>
        <v>1600</v>
      </c>
      <c r="H137" s="8"/>
      <c r="I137" s="8">
        <f>I6+I15+I30+I46+I55+I64+I75+I85+I93+I103+I116+I125</f>
        <v>194041825</v>
      </c>
      <c r="J137" s="58"/>
    </row>
  </sheetData>
  <sheetProtection/>
  <mergeCells count="9">
    <mergeCell ref="A1:I1"/>
    <mergeCell ref="A2:I2"/>
    <mergeCell ref="E3:H3"/>
    <mergeCell ref="E4:F4"/>
    <mergeCell ref="G4:H4"/>
    <mergeCell ref="A3:B5"/>
    <mergeCell ref="C3:C5"/>
    <mergeCell ref="D3:D5"/>
    <mergeCell ref="I3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OGP2</dc:creator>
  <cp:keywords/>
  <dc:description/>
  <cp:lastModifiedBy>Наталья Георгиевна Фирсова</cp:lastModifiedBy>
  <cp:lastPrinted>2013-04-09T15:14:36Z</cp:lastPrinted>
  <dcterms:created xsi:type="dcterms:W3CDTF">2012-02-24T15:45:20Z</dcterms:created>
  <dcterms:modified xsi:type="dcterms:W3CDTF">2013-04-09T15:14:41Z</dcterms:modified>
  <cp:category/>
  <cp:version/>
  <cp:contentType/>
  <cp:contentStatus/>
</cp:coreProperties>
</file>