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5" windowHeight="1065" activeTab="0"/>
  </bookViews>
  <sheets>
    <sheet name="Смета" sheetId="1" r:id="rId1"/>
    <sheet name="Акт КС 2 " sheetId="2" r:id="rId2"/>
    <sheet name="Деф.ведомость" sheetId="3" r:id="rId3"/>
    <sheet name="Source" sheetId="4" r:id="rId4"/>
    <sheet name="SmtRes" sheetId="5" r:id="rId5"/>
    <sheet name="EtalonRes" sheetId="6" r:id="rId6"/>
    <sheet name="ClcRes" sheetId="7" r:id="rId7"/>
  </sheets>
  <definedNames>
    <definedName name="_xlnm.Print_Titles" localSheetId="1">'Акт КС 2 '!$42:$42</definedName>
    <definedName name="_xlnm.Print_Titles" localSheetId="0">'Смета'!$26:$26</definedName>
    <definedName name="Подстрока">'Акт КС 2 '!$A$127:$Q$128</definedName>
    <definedName name="СметаЗаголовок">'Акт КС 2 '!$A$1:$Q$41</definedName>
    <definedName name="СметаКонцовка">'Акт КС 2 '!$A$156:$Q$164</definedName>
    <definedName name="СметаЛимитированные">'Акт КС 2 '!$A$155:$Q$155</definedName>
    <definedName name="Строка">'Акт КС 2 '!$A$137:$Q$144</definedName>
    <definedName name="СтрокаКоментарий">#REF!</definedName>
  </definedNames>
  <calcPr fullCalcOnLoad="1"/>
</workbook>
</file>

<file path=xl/sharedStrings.xml><?xml version="1.0" encoding="utf-8"?>
<sst xmlns="http://schemas.openxmlformats.org/spreadsheetml/2006/main" count="2791" uniqueCount="578">
  <si>
    <t>Асфальтобетонные смеси дорожные, аэродромные и асфальтобетон (горячие и теплые для пористого асфальтобетона щебеночные и гравийные), марка I</t>
  </si>
  <si>
    <t>т</t>
  </si>
  <si>
    <t>ФССЦ (2010) ч.4, раздел10, поз.0021</t>
  </si>
  <si>
    <t>2,2</t>
  </si>
  <si>
    <t>Асфальтобетонные смеси дорожные марка II, тип Г</t>
  </si>
  <si>
    <t>ФССЦ (2010) ч.4, раздел10, поз.0008</t>
  </si>
  <si>
    <t>3</t>
  </si>
  <si>
    <t>27-06-026-1</t>
  </si>
  <si>
    <t>Розлив вяжущих материалов</t>
  </si>
  <si>
    <t>ФЕР 2009 сб.27,гл.06,табл.026,поз.1</t>
  </si>
  <si>
    <t>1 т</t>
  </si>
  <si>
    <t>3,1</t>
  </si>
  <si>
    <t>101-1561</t>
  </si>
  <si>
    <t>Битумы нефтяные дорожные жидкие, класс МГ, СГ</t>
  </si>
  <si>
    <t>ФССЦ (2010) ч.1, раздел01, поз.1561</t>
  </si>
  <si>
    <t>*0,85</t>
  </si>
  <si>
    <t>Материалы и конструкции ( строительные )</t>
  </si>
  <si>
    <t>3,2</t>
  </si>
  <si>
    <t>101-1559</t>
  </si>
  <si>
    <t>Битумы нефтяные дорожные марки БНД-60/90, БНД-90/130</t>
  </si>
  <si>
    <t>ФССЦ (2010) ч.1, раздел01, поз.1559</t>
  </si>
  <si>
    <t>4</t>
  </si>
  <si>
    <t>27-06-020-5</t>
  </si>
  <si>
    <t>Устройство покрытия толщиной 4 см из горячих асфальтобетонных смесей плотных песчаных типа ГД, плотность каменных материалов 2,5-2,9-3 т/м3</t>
  </si>
  <si>
    <t>1000 м2</t>
  </si>
  <si>
    <t>ФЕР 2009 сб.27,гл.06,табл.020,поз.5</t>
  </si>
  <si>
    <t>1000 м2 покрытия</t>
  </si>
  <si>
    <t>5</t>
  </si>
  <si>
    <t>27-06-021-5</t>
  </si>
  <si>
    <t>На каждые 0,5 см изменения толщины покрытия добавлять или исключать к расценке 27-06-020-05 (до 5 см)</t>
  </si>
  <si>
    <t>ФЕР 2009 сб.27,гл.06,табл.021,поз.5</t>
  </si>
  <si>
    <t>6</t>
  </si>
  <si>
    <t>68-10-2</t>
  </si>
  <si>
    <t>Устройство выравнивающего слоя из асфальтобетонной смеси: без применения укладчиков асфальтобетона</t>
  </si>
  <si>
    <t>ФЕРр 2009 сб.68,поз.10-2</t>
  </si>
  <si>
    <t>/0,85</t>
  </si>
  <si>
    <t>6,1</t>
  </si>
  <si>
    <t>6,2</t>
  </si>
  <si>
    <t>Асфальтобетонные смеси дорожные, марка II, тип Г</t>
  </si>
  <si>
    <t>7</t>
  </si>
  <si>
    <t>27-07-001-1</t>
  </si>
  <si>
    <t>Устройство асфальтобетонных покрытий дорожек и тротуаров однослойных из литой мелкозернистой асфальто-бетонной смеси толщиной 3 см</t>
  </si>
  <si>
    <t>100 м2</t>
  </si>
  <si>
    <t>ФЕР 2009 сб.27,гл.07,табл.001,поз.1</t>
  </si>
  <si>
    <t>100 м2 покрытия</t>
  </si>
  <si>
    <t>7,1</t>
  </si>
  <si>
    <t>410-0054</t>
  </si>
  <si>
    <t>Асфальт литой для покрытий тротуаров тип II (жесткий)</t>
  </si>
  <si>
    <t>ФССЦ (2010) ч.4, раздел10, поз.0054</t>
  </si>
  <si>
    <t>*0,85*0,8</t>
  </si>
  <si>
    <t>7,2</t>
  </si>
  <si>
    <t>ФССЦ (2010) ч.4, раздел10, поз.0007</t>
  </si>
  <si>
    <t>8</t>
  </si>
  <si>
    <t>27-07-001-2</t>
  </si>
  <si>
    <t>На каждые 0,5 см изменения толщины покрытия добавлять к расценке 27-07-001-01 (до 5 см)</t>
  </si>
  <si>
    <t>ФЕР 2009 сб.27,гл.07,табл.001,поз.2</t>
  </si>
  <si>
    <t>8,1</t>
  </si>
  <si>
    <t>8,2</t>
  </si>
  <si>
    <t>9</t>
  </si>
  <si>
    <t>311-01-144-1</t>
  </si>
  <si>
    <t>Погрузка: Грунта от очистки основания</t>
  </si>
  <si>
    <t>ФССЦ ч.1, сб.311,гл.01,табл.144-1</t>
  </si>
  <si>
    <t>Перевозка, тара и упаковка</t>
  </si>
  <si>
    <t>Автомобильные перевозки, часть 1:  погрузочно-разгрузочные работы при автоперевозках</t>
  </si>
  <si>
    <t>ФССЦ а/п</t>
  </si>
  <si>
    <t>10</t>
  </si>
  <si>
    <t>Перевозка грунта от очистки основания автомобилями-самосвалами грузоподъемностью 10 т, работающих вне карьера на расстояние 10 км, класс груза 1.</t>
  </si>
  <si>
    <t>ФССЦ ч.1, сб.310,гл.30,табл.0-1</t>
  </si>
  <si>
    <t>Автомобильные перевозки, часть 1:  перевозка а/т  тракторами с прицепами</t>
  </si>
  <si>
    <t>11</t>
  </si>
  <si>
    <t>66-22-1</t>
  </si>
  <si>
    <t>Замена люков и кирпичных горловин колодцев и камер</t>
  </si>
  <si>
    <t>шт.</t>
  </si>
  <si>
    <t>ФЕРр 2009 сб.66,поз.22-1</t>
  </si>
  <si>
    <t>1 люк</t>
  </si>
  <si>
    <t>Наружные с/техработы : смена труб</t>
  </si>
  <si>
    <t>ФЕРр-66</t>
  </si>
  <si>
    <t>11,1</t>
  </si>
  <si>
    <t>101-2536</t>
  </si>
  <si>
    <t>Люки чугунные тяжелый</t>
  </si>
  <si>
    <t>ФССЦ (2010) ч.1, раздел01, поз.2536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</si>
  <si>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</si>
  <si>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</si>
  <si>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</si>
  <si>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</si>
  <si>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</si>
  <si>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</si>
  <si>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</si>
  <si>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</si>
  <si>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</si>
  <si>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</si>
  <si>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</si>
  <si>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</si>
  <si>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</si>
  <si>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</si>
  <si>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</si>
  <si>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</si>
  <si>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</si>
  <si>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</si>
  <si>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</si>
  <si>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</si>
  <si>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</si>
  <si>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</si>
  <si>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</si>
  <si>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</si>
  <si>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</si>
  <si>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</si>
  <si>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Коэф. ОЗП</t>
  </si>
  <si>
    <t>Индекс к ОЗП и ЗПМ за текущий квартал</t>
  </si>
  <si>
    <t>Проставьте текущий индекс к ОЗП и ЗПМ</t>
  </si>
  <si>
    <t>ЗТСтр</t>
  </si>
  <si>
    <t>ФОТ рабочих-строителей</t>
  </si>
  <si>
    <t>ЗТМаш</t>
  </si>
  <si>
    <t>ФОТ машинистов</t>
  </si>
  <si>
    <t>ФОТ</t>
  </si>
  <si>
    <t>Фонд оплаты труда</t>
  </si>
  <si>
    <t>Коэф. ЭММ</t>
  </si>
  <si>
    <t>Индекс к ЭММ за текущий квартал</t>
  </si>
  <si>
    <t>Проставьте текущий индекс к ЭММ</t>
  </si>
  <si>
    <t>Маш</t>
  </si>
  <si>
    <t>Эксплуатация машин и механизмов</t>
  </si>
  <si>
    <t>Перевозка</t>
  </si>
  <si>
    <t>Итого перевозка</t>
  </si>
  <si>
    <t>Коэф. СтМат</t>
  </si>
  <si>
    <t>Индекс к Мат за текущий квартал</t>
  </si>
  <si>
    <t>Проставьте текущий индекс к Мат</t>
  </si>
  <si>
    <t>Мат</t>
  </si>
  <si>
    <t>Стоимость материалов</t>
  </si>
  <si>
    <t>Неучт</t>
  </si>
  <si>
    <t>Неучтенные материалы</t>
  </si>
  <si>
    <t>НаклРасх</t>
  </si>
  <si>
    <t>Итого накладные расходы</t>
  </si>
  <si>
    <t>СметнПриб</t>
  </si>
  <si>
    <t>Итого сметная прибыль</t>
  </si>
  <si>
    <t>ИТОГ1</t>
  </si>
  <si>
    <t>Итого с накладными расходами и сметной прибылью</t>
  </si>
  <si>
    <t>труд</t>
  </si>
  <si>
    <t>Нормативная трудоемкость</t>
  </si>
  <si>
    <t>ЗУ</t>
  </si>
  <si>
    <t>Процент на временные сооружения</t>
  </si>
  <si>
    <t>проставьте % временных</t>
  </si>
  <si>
    <t>ЗУ1</t>
  </si>
  <si>
    <t>Временные здания и сооружения 1,4%</t>
  </si>
  <si>
    <t>ИТОГ5</t>
  </si>
  <si>
    <t>Итого с временными зданиями и сооружениями</t>
  </si>
  <si>
    <t>ИТОГ6</t>
  </si>
  <si>
    <t>Процент зимнего удорожания</t>
  </si>
  <si>
    <t>проставьте % ЗУ</t>
  </si>
  <si>
    <t>Врем</t>
  </si>
  <si>
    <t>Зимнее удорожание 0,8%*1,1</t>
  </si>
  <si>
    <t>ИТОГ7</t>
  </si>
  <si>
    <t>Итого:</t>
  </si>
  <si>
    <t>Проц</t>
  </si>
  <si>
    <t>Процент на непредвиденные</t>
  </si>
  <si>
    <t>проставьте % непредвиденных</t>
  </si>
  <si>
    <t>Непредв</t>
  </si>
  <si>
    <t>Непредвиденные работы и затраты 2%</t>
  </si>
  <si>
    <t>Итог 7_1</t>
  </si>
  <si>
    <t>Итого с непредвиденными затратами</t>
  </si>
  <si>
    <t>Коэф.</t>
  </si>
  <si>
    <t>Коэффициент инфляции</t>
  </si>
  <si>
    <t>Итог12</t>
  </si>
  <si>
    <t>Итого с коэффициентом инфляции 0</t>
  </si>
  <si>
    <t>НДСобщ</t>
  </si>
  <si>
    <t>НДС 18%</t>
  </si>
  <si>
    <t>ВСЕГО</t>
  </si>
  <si>
    <t>0_085_к_СП</t>
  </si>
  <si>
    <t>Размер коэффициента к сумме СП при ремонте и реконструкции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</si>
  <si>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МДС 81-33(34).2004 пр.4 и К=0,85 к СП строит.работ письмо АП-5536/06 от 18.11.2004</t>
  </si>
  <si>
    <t>0_094_к_НР</t>
  </si>
  <si>
    <t>Размер коэффициента к НР по ПИСЬМУ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</si>
  <si>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ПИСЬМО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</si>
  <si>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0_0Поправка</t>
  </si>
  <si>
    <t>ГЭСНр-2001 (основные положения п.1.13 стр. 5 коэффициенты к затратам труда рабочих-строителей-1,15; к затратам на эксплуатацию машин (в том числе к затратам труда машинистов)-1,25)</t>
  </si>
  <si>
    <t>0__тип_объекта</t>
  </si>
  <si>
    <t>1- новое строительство, 2 - ремонт и реконструкция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</si>
  <si>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К=0.9 к НР строит.раб.МДС 81-33(34).2004 пр.4</t>
  </si>
  <si>
    <t>0_Поправка интенсивность</t>
  </si>
  <si>
    <t>С коэффициентом на интенсивность - 1,2 (ГЭСНр - 2001 - 68, стр. 116, п. 1.4.)</t>
  </si>
  <si>
    <t>0_источник_финансирования</t>
  </si>
  <si>
    <t>1 - внешние источники, 0 - хозрасчетный способ</t>
  </si>
  <si>
    <t>МДС 81-33.2004 п.4.9 при хозрасчете К=0.6 к НР.</t>
  </si>
  <si>
    <t>0_сложность</t>
  </si>
  <si>
    <t>1- Реконструкция объектов метрополитена, а также мостов, путепроводов, искусственных сооружений, относящихся к категории сложных, а также капитальном ремонте действующих атомных электростанций и других объектов с ядерными реакторами</t>
  </si>
  <si>
    <t>МДС 81-33.2004 примечание 2 и 5 Приложения 4. Реконструкция объектов метрополитена, а также мостов, путепроводов, искусственных сооружений, относящихся к категории сложных</t>
  </si>
  <si>
    <t>0_терр_коэфф</t>
  </si>
  <si>
    <t>Территориальный коэффициент</t>
  </si>
  <si>
    <t>применяется к ОЗП и ЗПМ.</t>
  </si>
  <si>
    <t>0_юр_лицо</t>
  </si>
  <si>
    <t>1 - юр.лицо, 0 - индивидуальный предприниматель</t>
  </si>
  <si>
    <t>МДС 81-33.2004 п.4.6 К=0.7 к НР при индив.предприн.; письмо АП-5536/06 К=0,9 к СП</t>
  </si>
  <si>
    <t>_РЕМ_НР</t>
  </si>
  <si>
    <t>Коэфф. 0,90    к НР при ремонте жилых и общ. зд.</t>
  </si>
  <si>
    <t>Асфальтирование придомовой территории по адресу:ул.Колесанова, д.4</t>
  </si>
  <si>
    <t>Для сборников  ФЕР и  ФЕРмр :  · Значение {_НР_РЕМ}= 0,90 -  при ремонте зданий жилого и гражданского назначений ( 0,90 к НР) ;  · Значение {_НР_РЕМ}= 1,00  - при строительстве  и реконструкции  объектов всех назначений</t>
  </si>
  <si>
    <t>_РЕМ_СП</t>
  </si>
  <si>
    <t>Коэфф. 0,85    к СП при ремонте зданий и сооруженй</t>
  </si>
  <si>
    <t>Для сборников  ФЕР и  ФЕРмр :   · Значение {_СП_РЕМ} = 0.85  -  при ремонте зданий всех назначений ( 0,85 к СП);   · Значение {_СП_РЕМ} = 1,00 -  при строительстве  и реконструкции  объектов всех назначений</t>
  </si>
  <si>
    <t>_СВ_НР</t>
  </si>
  <si>
    <t>Коэфф. 0,85    к НР для текущего уровня цен с 01.01.2011 при  обычной системе налогообложения</t>
  </si>
  <si>
    <t>Для норм НР с 1.01.2011 года:  · {_СВ_НР} = 0.85  -  Коэффициент   учитывающий изменение нормы страховых взносов с  1.01.1 - (при расчете в текущем уровне цен  индексами по статьям затрат )  · {_СВ_НР} = 1,00  -  при расчет в текущем уровне цен и при упро</t>
  </si>
  <si>
    <t>_СВ_СП</t>
  </si>
  <si>
    <t>Коэфф. 0,80    к СП для текущего уровня цен с 01.01.2011 при  обычной системе налогообложения</t>
  </si>
  <si>
    <t>Для норм СП с 1.01.2011 года:  · {_СВ_СП} = 0.80  -  Коэффициент   учитывающий изменение нормы страховых взносов с  1.01.11 - (при расчете в текущем уровне цен  индексами по статьям затрат )  · {_СВ_СП} = 1,00  -  без учета</t>
  </si>
  <si>
    <t>_УПР_НР</t>
  </si>
  <si>
    <t>Коэфф. 0,94    к НР для текущего уровня цен с 01.01.2011 при  упрощенной системе налогообложения</t>
  </si>
  <si>
    <t>Для норм НР с 1.01.2011 года при упрощенном налогообложении: если {УПРЩ} - вкл.  · {_УПР_НР} = 0.94  -  При упрощенном налогообложении в текущем уровне цен   ·</t>
  </si>
  <si>
    <t>АВИА</t>
  </si>
  <si>
    <t>При работах по диспечеризации управления движением авиа/траспортом</t>
  </si>
  <si>
    <t>Для сборников ФЕРм 08;10;11 :    · {АВИА} -  (вкл.)     -  производство монтажных  работы по диспетчеризации управления  движением авиатранспортном (НР=95%, СП=55%) ;    ·            {АВИА} -  (выкл. ) -  при производстве работ на прочих объектах , кроме</t>
  </si>
  <si>
    <t>АЭС</t>
  </si>
  <si>
    <t>При работах на АЭС</t>
  </si>
  <si>
    <t>Для сборника ФЕРм -39  и ФЕРМ-08  ( при работах по контролю сварных соединений) :    {АЭС} - ( вкл.)  -     при выполнении работ по на АЭС  (HР=101%; СП= 68%;             {АЭС} - (выкл.) -  при выполнении работ  на обычных объектах</t>
  </si>
  <si>
    <t>ЖИЛ</t>
  </si>
  <si>
    <t>При работах на жилых и общественных зданиях</t>
  </si>
  <si>
    <t>Для сборников ФЕР , ФЕРр:  · {ЖИЛ} - ( вкл.)  -   при производстве всех видов работ  на объектах  жилищно-гражданского назначения  · {ЖИЛ} - (выкл.) -  при производстве всех видов работ на объектах производственного  назначения</t>
  </si>
  <si>
    <t>ЗАКР</t>
  </si>
  <si>
    <t>Работы в тоннелях закрытым/ открытым способом ( сопутствующие работы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</si>
  <si>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</si>
  <si>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М_ГОР</t>
  </si>
  <si>
    <t>Прокладка городских/междугородных волоконно-оптических сетей связи</t>
  </si>
  <si>
    <t>Для сборников ФЕРм-10  ( волоконно-оптические линии связи ): ·  {М_ГОР} -  ( вкл.)  - междугородные сети связи ( НР=120% , СП=70% )           ·  {М_ГОР} - ( выкл.) - городские сети связи  ( НР=100%; СП=65%)</t>
  </si>
  <si>
    <t>СЛЖ</t>
  </si>
  <si>
    <t>Коэфф. 1.2 к НР  при работах на сложных объектах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</si>
  <si>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</si>
  <si>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СУ_10</t>
  </si>
  <si>
    <t>Производство строительных и специальных строительных работ в подземных условиях в шахтах, рудниках, метрополитенах, тоннелях и других подземных сооружениях, в том числе специального назначения:</t>
  </si>
  <si>
    <t>В РАСЧЕТАХ НЕ ИСПОЛЬЗУЕТСЯ МДС 81-35.2004.Пр.1.с учетом письма № АП-3230/06 23.06.2004 табл.1. п.10</t>
  </si>
  <si>
    <t>СУ_10_1</t>
  </si>
  <si>
    <t>При отсутствии вредных условий производства работ, предусматривающих работу с сокращенным рабочим днем</t>
  </si>
  <si>
    <t>МДС 81-35.2004.Пр.1.с учетом письма № АП-3230/06 23.06.2004 табл.1. п.10.1</t>
  </si>
  <si>
    <t>СУ_10_2</t>
  </si>
  <si>
    <t>При наличии вредных условий производства работ и сокращенной рабочей неделе-36 часов</t>
  </si>
  <si>
    <t>МДС 81-35.2004.Пр.1.с учетом письма № АП-3230/06 23.06.2004 табл.1. п.10.2</t>
  </si>
  <si>
    <t>СУ_10_3</t>
  </si>
  <si>
    <t>При наличии вредных условий производства работ и сокращенной рабочей неделе-30 часов</t>
  </si>
  <si>
    <t>МДС 81-35.2004.Пр.1.с учетом письма № АП-3230/06 23.06.2004 табл.1. п.10.3</t>
  </si>
  <si>
    <t>СУ_10_4</t>
  </si>
  <si>
    <t>При наличии вредных условий производства работ и сокращенной рабочей неделе-24 часа</t>
  </si>
  <si>
    <t>МДС 81-35.2004.Пр.1.с учетом письма № АП-3230/06 23.06.2004 табл.1. п.10.4</t>
  </si>
  <si>
    <t>СУ_11</t>
  </si>
  <si>
    <t>Производство строительных и специальных строительных работ в эксплуатируемых тоннелях метрополитенов в ночное время «в окно»:</t>
  </si>
  <si>
    <t>СУ_11_1</t>
  </si>
  <si>
    <t>При использовании рабочих в течение рабочей смены только для выполнения работ, связанных с «окном»</t>
  </si>
  <si>
    <t>МДС 81-35.2004.Пр.1.с учетом письма № АП-3230/06 23.06.2004 табл.1. п.11.1</t>
  </si>
  <si>
    <t>СУ_11_2</t>
  </si>
  <si>
    <t>Производство строительных и специальных строительных работ в эксплуатируемых тоннелях метрополитенов в ночное время «в окно»:При использовании части рабочей смены (до пуска рабочих в тоннель и после выпуска из тоннеля) для выполнения работ, не с</t>
  </si>
  <si>
    <t>МДС 81-35.2004.Пр.1.с учетом письма № АП-3230/06 23.06.2004 табл.1. п.11.2</t>
  </si>
  <si>
    <t>СУ__1</t>
  </si>
  <si>
    <t>Пр-во строит.работ по возведению конструктивных элементов промышленных зданий и сооружений (фундаменты, элементы каркаса, стены, перекрытия и др.) внутри строящихся зданий при возведенной коробке здания, в случаях, когда это обосновано П</t>
  </si>
  <si>
    <t>МДС 81-35.2004.Пр.1.с учетом письма № АП-3230/06 23.06.2004 табл.1. п. 1.1</t>
  </si>
  <si>
    <t>СУ__2</t>
  </si>
  <si>
    <t>При использовании части рабочей смены (до пуска рабочих в тоннель и после выпуска из тоннеля) для выполнения работ, не связанных с «окном»</t>
  </si>
  <si>
    <t>МДС 81-35.2004.Пр.1.с учетом письма № АП-3230/06 23.06.2004 табл.1. п.2</t>
  </si>
  <si>
    <t>СУ__3</t>
  </si>
  <si>
    <t>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</t>
  </si>
  <si>
    <t>Ведомость объемов работ</t>
  </si>
  <si>
    <t>№№ п/п</t>
  </si>
  <si>
    <t>Наименование работ и затрат</t>
  </si>
  <si>
    <t>Ед.изм.</t>
  </si>
  <si>
    <t>Устройство выравнивающего слоя из асфальтобетонной смеси с применением укладчика асфальтобетона тип Г марка II на проездах</t>
  </si>
  <si>
    <t>Устройство асфальтобетонного покрытия толщ. 5 см тип Г марки II на проездах</t>
  </si>
  <si>
    <t>м2</t>
  </si>
  <si>
    <t>Устройство выравнивающего слоя из асфальтобетонной смеси без применения укладчика асфальтобетона тип Г марка II на подходах к подъездам и тротуарах</t>
  </si>
  <si>
    <t>Устройство асфальтобетонного покрытия толщ. 5 см тип Г марки II на подходах к подъездам и тротуарах</t>
  </si>
  <si>
    <t>Погрузка и отвозка грунта и мусора от очистки основания</t>
  </si>
  <si>
    <t>Подъем колодцев на 1 ряд кирпича</t>
  </si>
  <si>
    <t>шт</t>
  </si>
  <si>
    <t>Капитальный ремонт и ремонт дворовых территорий многоквартирных домов, проездов к дворовым территориям многоквартирных домов - ул. Колесанова, д. 4</t>
  </si>
  <si>
    <t>МДС 81-35.2004.Пр.1.с учетом письма № АП-3230/06 23.06.2004 табл.1. п.3</t>
  </si>
  <si>
    <t>СУ__3_1</t>
  </si>
  <si>
    <t>То же, при температуре воздуха на рабочем месте более 40 С в помещениях.</t>
  </si>
  <si>
    <t>МДС 81-35.2004.Пр.1.с учетом письма № АП-3230/06 23.06.2004 табл.1. п.3.1</t>
  </si>
  <si>
    <t>СУ__3_2</t>
  </si>
  <si>
    <t>То же, с вредными условиями труда,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</si>
  <si>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п.3.2</t>
  </si>
  <si>
    <t>СУ__3_2_1</t>
  </si>
  <si>
    <t>То же, без стесненных условий, но при наличии вредности</t>
  </si>
  <si>
    <t>МДС 81-35.2004.Пр.1.с учетом письма № АП-3230/06 23.06.2004 табл.1. п.3.2.1</t>
  </si>
  <si>
    <t>СУ__3_3</t>
  </si>
  <si>
    <t>То же, с вредными условиями труда, где рабочие-строители переведены на сокращенный рабочий день при 36-часовой рабочей неделе</t>
  </si>
  <si>
    <t>МДС 81-35.2004.Пр.1.с учетом письма № АП-3230/06 23.06.2004 табл.1. п.3.3</t>
  </si>
  <si>
    <t>СУ__3_3_1</t>
  </si>
  <si>
    <t>МДС 81-35.2004.Пр.1.с учетом письма № АП-3230/06 23.06.2004 табл.1. п.3.3.1</t>
  </si>
  <si>
    <t>СУ__3_4</t>
  </si>
  <si>
    <t>То же, с вредными условиями труда, где рабочие-строители переведены на сокращенный рабочий день при 30-часовой рабочей неделе</t>
  </si>
  <si>
    <t>МДС 81-35.2004.Пр.1.с учетом письма № АП-3230/06 23.06.2004 табл.1. п.3.4</t>
  </si>
  <si>
    <t>СУ__3_4_1</t>
  </si>
  <si>
    <t>Тоже без стесненных условий, но при наличии вредности</t>
  </si>
  <si>
    <t>МДС 81-35.2004.Пр.1.с учетом письма № АП-3230/06 23.06.2004 табл.1. п.3.4.1</t>
  </si>
  <si>
    <t>СУ__3_5</t>
  </si>
  <si>
    <t>То же, с вредными условиями труда при стесненности рабочих мест, где рабочие-строители переведены на сокращенный рабочий день при 24-часовой рабочей неделе</t>
  </si>
  <si>
    <t>МДС 81-35.2004.Пр.1.с учетом письма № АП-3230/06 23.06.2004 табл.1. п.3.5</t>
  </si>
  <si>
    <t>СУ__3_5_1</t>
  </si>
  <si>
    <t>МДС 81-35.2004.Пр.1.с учетом письма № АП-3230/06 23.06.2004 табл.1. п.3.5.1</t>
  </si>
  <si>
    <t>СУ__4</t>
  </si>
  <si>
    <t>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</t>
  </si>
  <si>
    <t>МДС 81-35.2004.Пр.1.с учетом письма № АП-3230/06 23.06.2004 табл.1. п.4</t>
  </si>
  <si>
    <t>СУ__4_1</t>
  </si>
  <si>
    <t>То же, с вредными условиями труда (наличие пара, пыли, вредных газов, дыма и т.п.),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</si>
  <si>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п.4.1</t>
  </si>
  <si>
    <t>СУ__5</t>
  </si>
  <si>
    <t>Производство строительных и других работ вблизи объектов, находящихся под высоким напряжением, в том числе в охранной зоне действующей воздушной линии электропередачи</t>
  </si>
  <si>
    <t>МДС 81-35.2004.Пр.1.с учетом письма № АП-3230/06 23.06.2004 табл.1. п.5</t>
  </si>
  <si>
    <t>СУ__6</t>
  </si>
  <si>
    <t>Производство строительных и других работ в закрытых сооружениях (помещениях) находящихся ниже 3 м от поверхности земли (кроме перечисленных в п.п.10,11).</t>
  </si>
  <si>
    <t>МДС 81-35.2004.Пр.1.с учетом письма № АП-3230/06 23.06.2004 табл.1. п.6</t>
  </si>
  <si>
    <t>СУ__7</t>
  </si>
  <si>
    <t>Строительство новых объектов в стесненных условиях: на территориях действующих предприятий, имеющих разветвленную сеть транспортных и инженерных коммуникаций и стесненные условия для складирования материалов.</t>
  </si>
  <si>
    <t>МДС 81-35.2004.Пр.1.с учетом письма № АП-3230/06 23.06.2004 табл.1. п.7</t>
  </si>
  <si>
    <t>СУ__8</t>
  </si>
  <si>
    <t>Строительство инженерных сетей и сооружений, а также объектов жилищно-гражданского назначения в стесненных условиях застроенной части города</t>
  </si>
  <si>
    <t>МДС 81-35.2004.Пр.1.с учетом письма № АП-3230/06 23.06.2004 табл.1. п.8</t>
  </si>
  <si>
    <t>СУ__9</t>
  </si>
  <si>
    <t>Строительство объектов в горной местности на высоте от 1500 до 2500 м над уровнем моря</t>
  </si>
  <si>
    <t>МДС 81-35.2004.Пр.1.с учетом письма № АП-3230/06 23.06.2004 табл.1. п.9</t>
  </si>
  <si>
    <t>СУ__9_1</t>
  </si>
  <si>
    <t>Строительство объектов в горной местности на высоте от 2500 до 3000 м над уровнем моря</t>
  </si>
  <si>
    <t>МДС 81-35.2004.Пр.1.с учетом письма № АП-3230/06 23.06.2004 табл.1. п.9.1</t>
  </si>
  <si>
    <t>СУ__9_2</t>
  </si>
  <si>
    <t>Строительство объектов в горной местности на высоте от 3000 до 3500 м над уровнем моря</t>
  </si>
  <si>
    <t>МДС 81-35.2004.Пр.1.с учетом письма № АП-3230/06 23.06.2004 табл.1. п.9.2</t>
  </si>
  <si>
    <t>СУ_т2_4_1</t>
  </si>
  <si>
    <t>То же, внутри работающих ТП и РП при наличии допусков</t>
  </si>
  <si>
    <t>МДС 81-35.2004.Пр.1.с учетом письма № АП-3230/06 23.06.2004 табл.2. п.3.4.1</t>
  </si>
  <si>
    <t>СУ_т3_11</t>
  </si>
  <si>
    <t>Ремонт отдельных конструктивных элементов зданий, расположенных в застроенном центре города:</t>
  </si>
  <si>
    <t>СУ_т3_11_1</t>
  </si>
  <si>
    <t>Ремонт фасадов</t>
  </si>
  <si>
    <t>МДС 81-35.2004.Пр.1.с учетом письма № АП-3230/06 23.06.2004 табл.3. п.11.1</t>
  </si>
  <si>
    <t>СУ_т3_11_2</t>
  </si>
  <si>
    <t>Ремонт сложных кровель</t>
  </si>
  <si>
    <t>МДС 81-35.2004.Пр.1.с учетом письма № АП-3230/06 23.06.2004 табл.3. п.11.2</t>
  </si>
  <si>
    <t>СУ_т3_11_3</t>
  </si>
  <si>
    <t>Ремонт дворового и прилегающего к зданиям благоустройства в центре городов</t>
  </si>
  <si>
    <t>МДС 81-35.2004.Пр.1.с учетом письма № АП-3230/06 23.06.2004 табл.3. п.11.3</t>
  </si>
  <si>
    <t>СУ_т3__6</t>
  </si>
  <si>
    <t>Ремонт существующих зданий (включая жилые дома) без расселения</t>
  </si>
  <si>
    <t>МДС 81-35.2004.Пр.1.с учетом письма № АП-3230/06 23.06.2004 табл.3. п.6</t>
  </si>
  <si>
    <t>СУ_т4_10</t>
  </si>
  <si>
    <t>При температуре воздуха на рабочем месте ниже 0°С</t>
  </si>
  <si>
    <t>МДС 81-35.2004.Пр.1.с учетом письма № АП-3230/06 23.06.2004 табл.4. п.10</t>
  </si>
  <si>
    <t>СУ_т4__5</t>
  </si>
  <si>
    <t>То же, внутри работающих ТП и РП при наличии допусков, а также вблизи источников ионирующего излучения и в помещениях А и Б по пожароопасности и 1-й, 2-й и 3-й категории по взрывоопасное</t>
  </si>
  <si>
    <t>МДС 81-35.2004.Пр.1.с учетом письма № АП-3230/06 23.06.2004 табл.4. п.5</t>
  </si>
  <si>
    <t>ТиМ</t>
  </si>
  <si>
    <t>Тонели и метрополитены обслуживающие процессы</t>
  </si>
  <si>
    <t>к=1, если закрытый способ; к=0, если открытый способ</t>
  </si>
  <si>
    <t>УПРЩ</t>
  </si>
  <si>
    <t>Коэф. = 0,9 к СП ( коэф. = 0,7 к НР при упрощенной системе налогооблажения отменен с 1.01.2011 )</t>
  </si>
  <si>
    <t>Для всех  расценок. (  при применении упрощенной системы налогообложения)  · {УПРЩ} - ( вкл.)    -  при упрощенной системе   ;  к = 0,9 к СП ( к= 0,7 к НР отменен с 1.01.11)  · {УПРЩ} - ( выкл.) -  при  обычной системе налогообложения</t>
  </si>
  <si>
    <t>ХОЗ</t>
  </si>
  <si>
    <t>Коэфф. 0,6 к НР при хозяйственном способе работ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</si>
  <si>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</si>
  <si>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1-1024</t>
  </si>
  <si>
    <t>Рабочий строитель среднего разряда 2,4</t>
  </si>
  <si>
    <t>чел.-ч</t>
  </si>
  <si>
    <t>ЗАТРАТЫ ТРУДА МАШИНИСТОВ</t>
  </si>
  <si>
    <t>030101</t>
  </si>
  <si>
    <t>ФСЭМ (2009), сб.03,поз.0101</t>
  </si>
  <si>
    <t>Автопогрузчики: 5т</t>
  </si>
  <si>
    <t>маш.ч</t>
  </si>
  <si>
    <t>МАШ.Ч</t>
  </si>
  <si>
    <t>070149</t>
  </si>
  <si>
    <t>ФСЭМ (2009), сб.07,поз.0149</t>
  </si>
  <si>
    <t>Бульдозеры при работе на других видах строительства: 79 кВт (108 л.с.)</t>
  </si>
  <si>
    <t>120202</t>
  </si>
  <si>
    <t>ФСЭМ (2009), сб.12,поз.0202</t>
  </si>
  <si>
    <t>Автогрейдеры: среднего типа 99 кВт (135 л.с.)</t>
  </si>
  <si>
    <t>120911</t>
  </si>
  <si>
    <t>ФСЭМ (2009), сб.12,поз.0911</t>
  </si>
  <si>
    <t>Катки на пневмоколесном ходу: 30 т</t>
  </si>
  <si>
    <t>121601</t>
  </si>
  <si>
    <t>ФСЭМ (2009), сб.12,поз.1601</t>
  </si>
  <si>
    <t>Машины поливомоечные 6000 л</t>
  </si>
  <si>
    <t>411-0001</t>
  </si>
  <si>
    <t>ФССЦ (2010) ч.4, раздел11, поз.0001</t>
  </si>
  <si>
    <t>Вода</t>
  </si>
  <si>
    <t>1-1041</t>
  </si>
  <si>
    <t>Рабочий строитель среднего разряда 4,1</t>
  </si>
  <si>
    <t>120906</t>
  </si>
  <si>
    <t>ФСЭМ (2009), сб.12,поз.0906</t>
  </si>
  <si>
    <t>Катки дорожные самоходные гладкие: 8 т</t>
  </si>
  <si>
    <t>120907</t>
  </si>
  <si>
    <t>ФСЭМ (2009), сб.12,поз.0907</t>
  </si>
  <si>
    <t>Катки дорожные самоходные гладкие: 13 т</t>
  </si>
  <si>
    <t>122000</t>
  </si>
  <si>
    <t>ФСЭМ (2009), сб.12,поз.2000</t>
  </si>
  <si>
    <t>Укладчики асфальтобетона</t>
  </si>
  <si>
    <t>101-0322</t>
  </si>
  <si>
    <t>ФССЦ (2010) ч.1, раздел01, поз.0322</t>
  </si>
  <si>
    <t>Керосин для технических целей марок КТ-1, КТ-2</t>
  </si>
  <si>
    <t>120101</t>
  </si>
  <si>
    <t>ФСЭМ (2009), сб.12,поз.0101</t>
  </si>
  <si>
    <t>Автогудронаторы: 3500 л</t>
  </si>
  <si>
    <t>1-1040</t>
  </si>
  <si>
    <t>Рабочий строитель среднего разряда 4</t>
  </si>
  <si>
    <t>021141</t>
  </si>
  <si>
    <t>ФСЭМ (2009), сб.02,поз.1141</t>
  </si>
  <si>
    <t>Краны на автомобильном ходу при работе на других видах строительства: 10т</t>
  </si>
  <si>
    <t>120500</t>
  </si>
  <si>
    <t>ФСЭМ (2009), сб.12,поз.0500</t>
  </si>
  <si>
    <t>Гудронаторы ручные</t>
  </si>
  <si>
    <t>400001</t>
  </si>
  <si>
    <t>ФСЭМ (2009), сб.40,поз.0001</t>
  </si>
  <si>
    <t>Автомобили бортовые, грузоподъемность: до 5 т</t>
  </si>
  <si>
    <t>101-0782</t>
  </si>
  <si>
    <t>ФССЦ (2010) ч.1, раздел01, поз.0782</t>
  </si>
  <si>
    <t>Поковки из квадратных заготовок, масса 1,8 кг</t>
  </si>
  <si>
    <t>101-1556</t>
  </si>
  <si>
    <t>ФССЦ (2010) ч.1, раздел01, поз.1556</t>
  </si>
  <si>
    <t>Битумы нефтяные дорожные марки БНД-60/90, БНД 90/130, сорт I</t>
  </si>
  <si>
    <t>102-0025</t>
  </si>
  <si>
    <t>ФССЦ (2010) ч.1, раздел02, поз.0025</t>
  </si>
  <si>
    <t>Бруски обрезные хвойных пород длиной 4-6,5 м, шириной 75-150 мм, толщиной 40-75 мм, III сорта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</si>
  <si>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Г</t>
  </si>
  <si>
    <t>1-1037</t>
  </si>
  <si>
    <t>Рабочий строитель среднего разряда 3,7</t>
  </si>
  <si>
    <t>122801</t>
  </si>
  <si>
    <t>ФСЭМ (2009), сб.12,поз.2801</t>
  </si>
  <si>
    <t>Виброплита с двигателем внутреннего сгорания</t>
  </si>
  <si>
    <t>408-0122</t>
  </si>
  <si>
    <t>ФССЦ (2010) ч.4, раздел08, поз.0122</t>
  </si>
  <si>
    <t>Песок природный для строительных работ средний</t>
  </si>
  <si>
    <t>060248</t>
  </si>
  <si>
    <t>ФСЭМ (2009), сб.06,поз.0248</t>
  </si>
  <si>
    <t>Экскаваторы одноковшовые дизельные на гусеничном ходу при работе на других видах строительства: 0,65 м3</t>
  </si>
  <si>
    <t>400052</t>
  </si>
  <si>
    <t>ФСЭМ (2009), сб.40,поз.0052</t>
  </si>
  <si>
    <t>Автомобиль-самосвал, грузоподъемность: до 10т</t>
  </si>
  <si>
    <t>1-1030</t>
  </si>
  <si>
    <t>Рабочий строитель среднего разряда 3</t>
  </si>
  <si>
    <t>401-0025</t>
  </si>
  <si>
    <t>ФССЦ (2010) ч.4, раздел01, поз.0025</t>
  </si>
  <si>
    <t>Бетон тяжелый, крупность заполнителя более 40 мм, класс В12,5 (М150)</t>
  </si>
  <si>
    <t>402-0002</t>
  </si>
  <si>
    <t>ФССЦ (2010) ч.4, раздел02, поз.0002</t>
  </si>
  <si>
    <t>Раствор готовый кладочный цементный марки 50</t>
  </si>
  <si>
    <t>404-0005</t>
  </si>
  <si>
    <t>ФССЦ (2010) ч.4, раздел04, поз.0005</t>
  </si>
  <si>
    <t>Кирпич керамический одинарный, размером 250х120х65 мм, марка 100</t>
  </si>
  <si>
    <t>1000 шт.</t>
  </si>
  <si>
    <t>408-9080</t>
  </si>
  <si>
    <t>Щебень</t>
  </si>
  <si>
    <t>{\rtf1\ansi\ansicpg1251\deff0{\fonttbl{\f0\fnil\fcharset204 MS Sans Serif;}{\f1\fswiss\fcharset0 Tahoma;}{\f2\fswiss\fcharset204 Tahoma;}{\f3\fnil MS Sans Serif;}}  \viewkind4\uc1\pard\lang1049\f0\fs16\'c4\'eb\'ff \'f1\'e1\'ee\'f0\'ed\'e8\'ea\'ee\'e2  \'d4\'c5\'d0 \'e8  \'d4\'c5\'d0\'ec\'f0 :  \par  \f1\'b7\tab\f2\'c7\'ed\'e0\'f7\'e5\'ed\'e8\'e5 \{_\'cd\'d0_\'d0\'c5\'cc\}= 0,90 -  \'ef\'f0\'e8 \'f0\'e5\'ec\'ee\'ed\'f2\'e5 \'e7\'e4\'e0\'ed\'e8\'e9 \'e6\'e8\'eb\'ee\'e3\'ee \'e8 \'e3\'f0\'e0\'e6\'e4\'e0\'ed\'f1\'ea\'ee\'e3\'ee \'ed\'e0\'e7\'ed\'e0\'f7\'e5\'ed\'e8\'e9 ( 0,90 \'ea \'cd\'d0) ;  \par  \f1\'b7\tab\f2\'c7\'ed\'e0\'f7\'e5\'ed\'e8\'e5 \lang1033\f1\{\lang1049\f2 _\'cd\'d0_\'d0\'c5\'cc\}=\lang1033\f1  \lang1049\f2 1,00  - \'ef\'f0\'e8 \'f1\'f2\'f0\'ee\'e8\'f2\'e5\'eb\'fc\'f1\'f2\'e2\'e5  \'e8 \'f0\'e5\'ea\'ee\'ed\'f1\'f2\'f0\'f3\'ea\'f6\'e8\'e8  \'ee\'e1\'fa\'e5\'ea\'f2\'ee\'e2 \'e2\'f1\'e5\'f5 \'ed\'e0\'e7\'ed\'e0\'f7\'e5\'ed\'e8\'e9\f3   \par }</t>
  </si>
  <si>
    <t>{\rtf1\ansi\ansicpg1251\deff0{\fonttbl{\f0\fnil\fcharset204 MS Sans Serif;}{\f1\fswiss\fcharset0 Tahoma;}{\f2\fswiss\fcharset204 Tahoma;}{\f3\fnil MS Sans Serif;}}  \viewkind4\uc1\pard\lang1049\f0\fs16\'c4\'eb\'ff \'f1\'e1\'ee\'f0\'ed\'e8\'ea\'ee\'e2  \'d4\'c5\'d0 \'e8  \'d4\'c5\'d0\'ec\'f0 :  \par   \f1\'b7\tab\f2\'c7\'ed\'e0\'f7\'e5\'ed\'e8\'e5 \{_\'d1\'cf_\'d0\'c5\'cc\} = 0.85  -  \'ef\'f0\'e8 \'f0\'e5\'ec\'ee\'ed\'f2\'e5 \'e7\'e4\'e0\'ed\'e8\'e9 \'e2\'f1\'e5\'f5 \'ed\'e0\'e7\'ed\'e0\'f7\'e5\'ed\'e8\'e9 ( 0,85 \'ea \'d1\'cf);  \par   \f1\'b7\tab\f2\'c7\'ed\'e0\'f7\'e5\'ed\'e8\'e5 \{_\'d1\'cf_\'d0\'c5\'cc\}\lang1033\f1  \lang1049\f2 = 1,00 -  \'ef\'f0\'e8 \'f1\'f2\'f0\'ee\'e8\'f2\'e5\'eb\'fc\'f1\'f2\'e2\'e5  \'e8 \'f0\'e5\'ea\'ee\'ed\'f1\'f2\'f0\'f3\'ea\'f6\'e8\'e8  \'ee\'e1\'fa\'e5\'ea\'f2\'ee\'e2 \'e2\'f1\'e5\'f5 \'ed\'e0\'e7\'ed\'e0\'f7\'e5\'ed\'e8\'e9\f3   \par }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</si>
  <si>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</si>
  <si>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</si>
  <si>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</si>
  <si>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</si>
  <si>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</si>
  <si>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</si>
  <si>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</si>
  <si>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</si>
  <si>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</si>
  <si>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</si>
  <si>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</si>
  <si>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</si>
  <si>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</si>
  <si>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</si>
  <si>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</si>
  <si>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>Вид деятельности по ОКДП</t>
  </si>
  <si>
    <t>Договор (контракт)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</si>
  <si>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</si>
  <si>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</si>
  <si>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</si>
  <si>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</si>
  <si>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</si>
  <si>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</si>
  <si>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</si>
  <si>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</si>
  <si>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А К Т</t>
  </si>
  <si>
    <t>О ПРИЕМКЕ ВЫПОЛНЕННЫХ РАБОТ</t>
  </si>
  <si>
    <t>Работу сдал:</t>
  </si>
  <si>
    <t>Работу принял:</t>
  </si>
  <si>
    <r>
      <t xml:space="preserve">Составлена в текущих прогнозных ценах по состоянию на </t>
    </r>
    <r>
      <rPr>
        <b/>
        <sz val="12"/>
        <rFont val="Times New Roman"/>
        <family val="1"/>
      </rPr>
      <t>1 квартал 2011 г.</t>
    </r>
  </si>
  <si>
    <t>Генеральный директор ОАО "Дормострой"</t>
  </si>
  <si>
    <t>С.В. Смагин</t>
  </si>
  <si>
    <t>А.Н. Головкин</t>
  </si>
  <si>
    <t>Начальник УЖКХ Администрации г.Иванова</t>
  </si>
  <si>
    <t>Управление жилищно-коммунального хозяйства Администрации города Иванова</t>
  </si>
  <si>
    <t>ОАО "Дормострой"</t>
  </si>
  <si>
    <t xml:space="preserve">Капитальный ремонт и ремонт двровых территорий многоквартирных домов, проездов к дворовым территориям многоквартирных домов </t>
  </si>
  <si>
    <t>21/1</t>
  </si>
  <si>
    <t>25 апреля 2011 г.</t>
  </si>
  <si>
    <t>ул. Колесанова, д. 6</t>
  </si>
  <si>
    <t>{\rtf1\ansi\ansicpg1251\deff0{\fonttbl{\f0\fnil\fcharset204 MS Sans Serif;}{\f1\fswiss\fcharset0 Tahoma;}{\f2\fswiss\fcharset204 Tahoma;}{\f3\fnil MS Sans Serif;}}  \viewkind4\uc1\pard\lang1049\f0\fs16\'c4\'eb\'ff \'ed\'ee\'f0\'ec \'cd\'d0 \'f1 1.01.2011 \'e3\'ee\'e4\'e0:  \par  \f1\'b7\tab\{_\f2\'d1\'c2_\'cd\'d0\f1\} = 0.\f2 85\f1  \f2  \f1 - \f2  \'ca\'ee\'fd\'f4\'f4\'e8\'f6\'e8\'e5\'ed\'f2   \'f3\'f7\'e8\'f2\'fb\'e2\'e0\'fe\'f9\'e8\'e9 \'e8\'e7\'ec\'e5\'ed\'e5\'ed\'e8\'e5 \'ed\'ee\'f0\'ec\'fb \'f1\'f2\'f0\'e0\'f5\'ee\'e2\'fb\'f5 \'e2\'e7\'ed\'ee\'f1\'ee\'e2 \'f1  1.01.1 - (\'ef\'f0\'e8 \'f0\'e0\'f1\'f7\'e5\'f2\'e5 \'e2 \'f2\'e5\'ea\'f3\'f9\'e5\'ec \'f3\'f0\'ee\'e2\'ed\'e5 \'f6\'e5\'ed  \'e8\'ed\'e4\'e5\'ea\'f1\'e0\'ec\'e8 \'ef\'ee \'f1\'f2\'e0\'f2\'fc\'ff\'ec \'e7\'e0\'f2\'f0\'e0\'f2 )  \par  \f1\'b7\tab\{_\f2\'d1\'c2_\'cd\'d0\f1\} = 1,00  -  \f2\'ef\'f0\'e8 \'f0\'e0\'f1\'f7\'e5\'f2 \'e2 \'f2\'e5\'ea\'f3\'f9\'e5\'ec \'f3\'f0\'ee\'e2\'ed\'e5 \'f6\'e5\'ed \'e8 \'ef\'f0\'e8 \'f3\'ef\'f0\'ee\'f9\'e5\'ed\'ed\'ee\'e9 \'f1\'e8\'f1\'f2\'e5\'ec\'e5\f3   \par }</t>
  </si>
  <si>
    <t>{\rtf1\ansi\ansicpg1251\deff0{\fonttbl{\f0\fnil\fcharset204 MS Sans Serif;}{\f1\fswiss\fcharset0 Tahoma;}{\f2\fswiss\fcharset204 Tahoma;}{\f3\fnil MS Sans Serif;}}  \viewkind4\uc1\pard\lang1049\f0\fs16\'c4\'eb\'ff \'ed\'ee\'f0\'ec \'d1\'cf \'f1 1.01.2011 \'e3\'ee\'e4\'e0:  \par  \f1\'b7\tab\{_\f2\'d1\'c2_\'d1\'cf\f1\} = 0.\f2 80\f1  \f2  \f1 - \f2  \'ca\'ee\'fd\'f4\'f4\'e8\'f6\'e8\'e5\'ed\'f2   \'f3\'f7\'e8\'f2\'fb\'e2\'e0\'fe\'f9\'e8\'e9 \'e8\'e7\'ec\'e5\'ed\'e5\'ed\'e8\'e5 \'ed\'ee\'f0\'ec\'fb \'f1\'f2\'f0\'e0\'f5\'ee\'e2\'fb\'f5 \'e2\'e7\'ed\'ee\'f1\'ee\'e2 \'f1  1.01.11 - (\'ef\'f0\'e8 \'f0\'e0\'f1\'f7\'e5\'f2\'e5 \'e2 \'f2\'e5\'ea\'f3\'f9\'e5\'ec \'f3\'f0\'ee\'e2\'ed\'e5 \'f6\'e5\'ed  \'e8\'ed\'e4\'e5\'ea\'f1\'e0\'ec\'e8 \'ef\'ee \'f1\'f2\'e0\'f2\'fc\'ff\'ec \'e7\'e0\'f2\'f0\'e0\'f2 )  \par  \f1\'b7\tab\{_\f2\'d1\'c2_\'d1\'cf\f1\} = 1,00  -  \f2\'e1\'e5\'e7 \'f3\'f7\'e5\'f2\'e0 \f3   \par }</t>
  </si>
  <si>
    <t>{\rtf1\ansi\ansicpg1251\deff0{\fonttbl{\f0\fnil\fcharset204 MS Sans Serif;}{\f1\fswiss\fcharset0 Tahoma;}{\f2\fswiss\fcharset204 Tahoma;}{\f3\fnil MS Sans Serif;}}  \viewkind4\uc1\pard\lang1049\f0\fs16\'c4\'eb\'ff \'ed\'ee\'f0\'ec \'cd\'d0 \'f1 1.01.2011 \'e3\'ee\'e4\'e0 \'ef\'f0\'e8 \'f3\'ef\'f0\'ee\'f9\'e5\'ed\'ed\'ee\'ec \'ed\'e0\'eb\'ee\'e3\'ee\'ee\'e1\'eb\'ee\'e6\'e5\'ed\'e8\'e8: \'e5\'f1\'eb\'e8 \lang1033\f1\{\lang1049\f2\'d3\'cf\'d0\'d9\lang1033\f1\}\lang1049\f2  - \'e2\'ea\'eb.\f0   \par  \f1\'b7\tab\{_\f2\'d3\'cf\'d0_\'cd\'d0\lang1033\f1\}\lang1049  = 0.\f2 94\f1  \f2  \f1 - \f2  \'cf\'f0\'e8 \'f3\'ef\'f0\'ee\'f9\'e5\'ed\'ed\'ee\'ec \'ed\'e0\'eb\'ee\'e3\'ee\'ee\'e1\'eb\'ee\'e6\'e5\'ed\'e8\'e8 \'e2 \'f2\'e5\'ea\'f3\'f9\'e5\'ec \'f3\'f0\'ee\'e2\'ed\'e5 \'f6\'e5\'ed   \par  \f1\'b7\tab\f2  \f3   \par }</t>
  </si>
  <si>
    <t>{\rtf1\ansi\deff0{\fonttbl{\f0\fnil\fcharset204 MS Sans Serif;}{\f1\fswiss\fcharset0 Tahoma;}{\f2\fswiss\fcharset204 Tahoma;}{\f3\fnil MS Sans Serif;}}  \viewkind4\uc1\pard\lang1049\f0\fs16\'c4\'eb\'ff \'f1\'e1\'ee\'f0\'ed\'e8\'ea\'ee\'e2 \'d4\'c5\'d0\'ec 08;10;11 :  \par    \f1\'b7\tab\{\f2\'c0\'c2\'c8\'c0\} -  (\'e2\'ea\'eb.)     -  \'ef\'f0\'ee\'e8\'e7\'e2\'ee\'e4\'f1\'f2\'e2\'ee \'ec\'ee\'ed\'f2\'e0\'e6\'ed\'fb\'f5  \'f0\'e0\'e1\'ee\'f2\'fb \'ef\'ee \'e4\'e8\'f1\'ef\'e5\'f2\'f7\'e5\'f0\'e8\'e7\'e0\'f6\'e8\'e8 \'f3\'ef\'f0\'e0\'e2\'eb\'e5\'ed\'e8\'ff  \'e4\'e2\'e8\'e6\'e5\'ed\'e8\'e5\'ec \'e0\'e2\'e8\'e0\'f2\'f0\'e0\'ed\'f1\'ef\'ee\'f0\'f2\'ed\'ee\'ec (\'cd\'d0=95%, \'d1\'cf=55%) ;  \par    \f1\'b7 \f2        \f1     \{\f2\'c0\'c2\'c8\'c0\} -  (\'e2\'fb\'ea\'eb. ) -  \'ef\'f0\'e8 \'ef\'f0\'ee\'e8\'e7\'e2\'ee\'e4\'f1\'f2\'e2\'e5 \'f0\'e0\'e1\'ee\'f2 \'ed\'e0 \'ef\'f0\'ee\'f7\'e8\'f5 \'ee\'e1\'fa\'e5\'ea\'f2\'e0\'f5 , \'ea\'f0\'ee\'ec\'e5 \'c0\'dd\'d1\f3   \par }</t>
  </si>
  <si>
    <t>УТВЕРЖДАЮ:</t>
  </si>
  <si>
    <t>СОГЛАСОВАНО:</t>
  </si>
  <si>
    <t>"_______"_____________________2011 г.</t>
  </si>
  <si>
    <t>м.п.</t>
  </si>
  <si>
    <t>Сметная стоимость с НДС</t>
  </si>
  <si>
    <t>тыс. руб.</t>
  </si>
  <si>
    <t xml:space="preserve"> С М Е Т Н Ы Й   Р А С Ч Е Т</t>
  </si>
  <si>
    <t>(наименование работ и затрат,наименование объекта)</t>
  </si>
  <si>
    <r>
      <t xml:space="preserve">Часовой фонд оплаты труда, стоимость маш-час и перевозки грузов взяты по </t>
    </r>
    <r>
      <rPr>
        <b/>
        <sz val="12"/>
        <rFont val="Times New Roman"/>
        <family val="1"/>
      </rPr>
      <t>ФССЦ - 1/2011 кв</t>
    </r>
    <r>
      <rPr>
        <sz val="12"/>
        <rFont val="Times New Roman"/>
        <family val="1"/>
      </rPr>
      <t>.</t>
    </r>
  </si>
  <si>
    <t>№ п.п.</t>
  </si>
  <si>
    <t>Шифр, номера нормативов и коды ресурсов</t>
  </si>
  <si>
    <t xml:space="preserve">Наименование работ и затрат, характеристика оборудования  и его масса, расход ресурсов на единицу измерения </t>
  </si>
  <si>
    <t>Кол-во</t>
  </si>
  <si>
    <t>Стоимость единицы, руб.</t>
  </si>
  <si>
    <t>Общая стоимость, руб.</t>
  </si>
  <si>
    <t>Затраты труда рабочих,чел.-ч, 
не занятых
обслуживанием машин</t>
  </si>
  <si>
    <t>всего</t>
  </si>
  <si>
    <t>эксплуатации машин</t>
  </si>
  <si>
    <t>материалов</t>
  </si>
  <si>
    <t>Всего</t>
  </si>
  <si>
    <t>основной заработной платы</t>
  </si>
  <si>
    <t>эксплуатация машин</t>
  </si>
  <si>
    <t>в т.ч. заработной платы</t>
  </si>
  <si>
    <t>обслуж-х маш.</t>
  </si>
  <si>
    <t>Индекс к основной заработной плате</t>
  </si>
  <si>
    <t>*</t>
  </si>
  <si>
    <t>=</t>
  </si>
  <si>
    <t>Индекс к эксплуатации машин</t>
  </si>
  <si>
    <t>Индекс к заработной плате машинистов</t>
  </si>
  <si>
    <t>Индекс к стоимости материалов</t>
  </si>
  <si>
    <t>от суммы</t>
  </si>
  <si>
    <t>Составил:</t>
  </si>
  <si>
    <t>[должность, подпись (инициалы, фамилия)]</t>
  </si>
  <si>
    <t>Проверил:</t>
  </si>
  <si>
    <t>{\rtf1\ansi\deff0{\fonttbl{\f0\fnil\fcharset204 MS Sans Serif;}{\f1\fswiss\fcharset0 Tahoma;}{\f2\fswiss\fcharset204 Tahoma;}{\f3\fnil MS Sans Serif;}}  \viewkind4\uc1\pard\lang1049\f0\fs16\'c4\'eb\'ff \'f1\'e1\'ee\'f0\'ed\'e8\'ea\'e0 \'d4\'c5\'d0\'ec -39  \'e8 \'d4\'c5\'d0\'cc-08  ( \'ef\'f0\'e8 \'f0\'e0\'e1\'ee\'f2\'e0\'f5 \'ef\'ee \'ea\'ee\'ed\'f2\'f0\'ee\'eb\'fe \'f1\'e2\'e0\'f0\'ed\'fb\'f5 \'f1\'ee\'e5\'e4\'e8\'ed\'e5\'ed\'e8\'e9) :  \par  \tab  \{\'c0\'dd\'d1\} - ( \'e2\'ea\'eb.)  - \lang1033\f1    \lang1049\f0  \'ef\'f0\'e8 \'e2\'fb\'ef\'ee\'eb\'ed\'e5\'ed\'e8\'e8 \'f0\'e0\'e1\'ee\'f2 \'ef\'ee \'ed\'e0 \'c0\'dd\'d1  (H\'d0=101%; \'d1\'cf= 68%;   \par          \f1\tab  \{\f2\'c0\'dd\'d1\} - (\'e2\'fb\'ea\'eb.) -  \'ef\'f0\'e8 \'e2\'fb\'ef\'ee\'eb\'ed\'e5\'ed\'e8\'e8 \'f0\'e0\'e1\'ee\'f2  \'ed\'e0 \'ee\'e1\'fb\'f7\'ed\'fb\'f5 \'ee\'e1\'fa\'e5\'ea\'f2\'e0\'f5\f3   \par }</t>
  </si>
  <si>
    <t>{\rtf1\ansi\deff0{\fonttbl{\f0\fnil\fcharset204 MS Sans Serif;}{\f1\fswiss\fcharset0 Tahoma;}{\f2\fswiss\fcharset204 Tahoma;}{\f3\fnil MS Sans Serif;}}  \viewkind4\uc1\pard\lang1049\f0\fs16\'c4\'eb\'ff \'f1\'e1\'ee\'f0\'ed\'e8\'ea\'ee\'e2 \'d4\'c5\'d0 , \'d4\'c5\'d0\'f0:  \par  \f1\'b7\tab\{\f2\'c6\'c8\'cb\} - ( \'e2\'ea\'eb.)  -   \'ef\'f0\'e8 \'ef\'f0\'ee\'e8\'e7\'e2\'ee\'e4\'f1\'f2\'e2\'e5 \'e2\'f1\'e5\'f5 \'e2\'e8\'e4\'ee\'e2 \'f0\'e0\'e1\'ee\'f2  \'ed\'e0 \'ee\'e1\'fa\'e5\'ea\'f2\'e0\'f5  \'e6\'e8\'eb\'e8\'f9\'ed\'ee-\'e3\'f0\'e0\'e6\'e4\'e0\'ed\'f1\'ea\'ee\'e3\'ee \'ed\'e0\'e7\'ed\'e0\'f7\'e5\'ed\'e8\'ff  \par  \f1\'b7\tab\{\f2\'c6\'c8\'cb\} - (\'e2\'fb\'ea\'eb.) -  \'ef\'f0\'e8 \'ef\'f0\'ee\'e8\'e7\'e2\'ee\'e4\'f1\'f2\'e2\'e5 \'e2\'f1\'e5\'f5 \'e2\'e8\'e4\'ee\'e2 \'f0\'e0\'e1\'ee\'f2 \'ed\'e0 \'ee\'e1\'fa\'e5\'ea\'f2\'e0\'f5 \'ef\'f0\'ee\'e8\'e7\'e2\'ee\'e4\'f1\'f2\'e2\'e5\'ed\'ed\'ee\'e3\'ee  \'ed\'e0\'e7\'ed\'e0\'f7\'e5\'ed\'e8\'ff\f3   \par }</t>
  </si>
  <si>
    <t>{\rtf1\ansi\deff0{\fonttbl{\f0\fnil\fcharset204 MS Sans Serif;}{\f1\fswiss\fcharset0 Tahoma;}{\f2\fswiss\fcharset204 Tahoma;}{\f3\fnil MS Sans Serif;}}  \viewkind4\uc1\pard\lang1049\f0\fs16\'c4\'eb\'ff \'f1\'e1\'ee\'f0\'ed\'e8\'ea\'e0 \'d4\'c5\'d0 -29 ( \'f1\'ee\'ef\'f3\'f2\'f1\'f2\'e2\'f3\'fe\'f9\'e8\'e5 \'f0\'e0\'e1\'ee\'f2\'fb \'e2 \'f2\'ee\'ed\'ed\'e5\'eb\'ff\'f5 \'e8 \'ec\'e5\'f2\'f0\'ee. ):  \par \f1\'b7\tab  \{\f2\'c7\'c0\'ca\'d0\} - (\'e2\'ea\'eb.)     -  \'ef\'f0\'e8 \'e2\'fb\'ef\'ee\'eb\'ed\'e5\'ed\'e8\'e8 \'f0\'e0\'e1\'ee\'f2 \'e2 \'f2\'ee\'ed\'ed\'e5\'eb\'ff\'f5  \'e8 \'ec\'e5\'f2\'f0\'ee \'e7\'e0\'ea\'f0\'fb\'f2\'fb\'ec \'f1\'ef\'ee\'f1\'ee\'e1\'ee\'ec  (\'cd\'d0=145% , \'d1\'cf=75%);  \par \f1\'b7 \f2            \f1     \{\f2\'c7\'c0\'ca\'d0\} - (\'e2\'fb\'ea\'eb.) -   \'ef\'f0\'e8 \'e2\'fb\'ef\'ee\'eb\'ed\'e5\'ed\'e8\'e8 \'f0\'e0\'e1\'ee\'f2 \'e2 \'f2\'ee\'ed\'ed\'e5\'eb\'ff\'f5 \'e8 \'ec\'e5\'f2\'f0\'ee  \'ee\'f2\'ea\'f0\f3   \par }</t>
  </si>
  <si>
    <t>{\rtf1\ansi\deff0{\fonttbl{\f0\fnil\fcharset204 MS Sans Serif;}{\f1\fswiss\fcharset0 Tahoma;}{\f2\fswiss\fcharset204 Tahoma;}{\f3\fnil MS Sans Serif;}}  \viewkind4\uc1\pard\lang1049\f0\fs16\'c4\'eb\'ff \'f1\'e1\'ee\'f0\'ed\'e8\'ea\'ee\'e2 \'d4\'c5\'d0\'ec-10  ( \'e2\'ee\'eb\'ee\'ea\'ee\'ed\'ed\'ee-\'ee\'ef\'f2\'e8\'f7\'e5\'f1\'ea\'e8\'e5 \'eb\'e8\'ed\'e8\'e8 \'f1\'e2\'ff\'e7\'e8 ):  \par \f1\'b7\tab  \{\f2\'cc_\'c3\'ce\'d0\} -  ( \'e2\'ea\'eb.)  - \'ec\'e5\'e6\'e4\'f3\'e3\'ee\'f0\'ee\'e4\'ed\'fb\'e5 \'f1\'e5\'f2\'e8 \'f1\'e2\'ff\'e7\'e8 ( \'cd\'d0=120% , \'d1\'cf=70% )            \par \f1\'b7\tab  \{\f2\'cc_\'c3\'ce\'d0\} - ( \'e2\'fb\'ea\'eb.) - \'e3\'ee\'f0\'ee\'e4\'f1\'ea\'e8\'e5 \'f1\'e5\'f2\'e8 \'f1\'e2\'ff\'e7\'e8  ( \'cd\'d0=100%; \'d1\'cf=65%)\f3   \par }</t>
  </si>
  <si>
    <t>{\rtf1\ansi\deff0{\fonttbl{\f0\fnil\fcharset204 MS Sans Serif;}{\f1\fswiss\fcharset0 Tahoma;}{\f2\fswiss\fcharset204 Tahoma;}{\f3\fnil MS Sans Serif;}}  \viewkind4\uc1\pard\lang1049\f0\fs16\'c4\'eb\'ff \'f1\'e1\'ee\'f0\'ed\'e8\'ea\'ee\'e2 \'d4\'c5\'d0 ( \'ef\'f0\'e8 \'ef\'f0\'ee\'e8\'e7\'e2\'ee\'e4\'f1\'f2\'e2\'e5 \'f0\'e0\'e1\'ee\'f2 \'ed\'e0 \'f2\'e5\'f5\'ed\'e8\'f7\'e5\'f1\'ea\'e8 \'f1\'eb\'ee\'e6\'ed\'fb\'f5 \'ee\'e1\'fa\'e5\'ea\'f2\'e0\'f5 ):  \par  \f1\'b7\tab  \{ \f2\'d1\'cb\'c6 \} - (\'e2\'ea\'eb.)    - \'f0\'e0\'e1\'ee\'f2\'e0 \'ed\'e0 \'f1\'eb\'ee\'e6\'ed\'fb\'f5 \'ee\'e1\'fa\'e5\'ea\'f2\'e0\'f5  (\'ea=1,2 \'ea \'cd\'d0)           \par  \f1\'b7\tab  \{ \f2\'d1\'cb\'c6 \} - (\'e2\'fb\'ea\'eb.) - \'f0\'e0\'e1\'ee\'f2\'e0 \'ed\'e0 \'ee\'e1\'fb\'f7\'ed\'fb\'f5 \'ee\'e1\'fa\'e5\'ea\'f2\'e0\'f5\f3   \par }</t>
  </si>
  <si>
    <t>{\rtf1\ansi\ansicpg1251\deff0{\fonttbl{\f0\fnil\fcharset204 MS Sans Serif;}{\f1\fswiss\fcharset0 Tahoma;}{\f2\fswiss\fcharset204 Tahoma;}{\f3\fnil MS Sans Serif;}}  \viewkind4\uc1\pard\lang1049\f0\fs16\'c4\'eb\'ff \'e2\'f1\'e5\'f5  \'f0\'e0\'f1\'f6\'e5\'ed\'ee\'ea. (  \'ef\'f0\'e8 \'ef\'f0\'e8\'ec\'e5\'ed\'e5\'ed\'e8\'e8 \'f3\'ef\'f0\'ee\'f9\'e5\'ed\'ed\'ee\'e9 \'f1\'e8\'f1\'f2\'e5\'ec\'fb \'ed\'e0\'eb\'ee\'e3\'ee\'ee\'e1\'eb\'ee\'e6\'e5\'ed\'e8\'ff)  \par  \f1\'b7\tab\{\f2\'d3\'cf\'d0\'d9\} - ( \'e2\'ea\'eb.)    -  \'ef\'f0\'e8 \'f3\'ef\'f0\'ee\'f9\'e5\'ed\'ed\'ee\'e9 \'f1\'e8\'f1\'f2\'e5\'ec\'e5   ;  \'ea = 0,9 \'ea \'d1\'cf ( \'ea= 0,7 \'ea \'cd\'d0 \'ee\'f2\'ec\'e5\'ed\'e5\'ed \'f1 1.01.11)  \par  \f1\'b7\tab\{\f2\'d3\'cf\'d0\'d9\} - ( \'e2\'fb\'ea\'eb.) -  \'ef\'f0\'e8  \'ee\'e1\'fb\'f7\'ed\'ee\'e9 \'f1\'e8\'f1\'f2\'e5\'ec\'e5 \'ed\'e0\'eb\'ee\'e3\'ee\'ee\'e1\'eb\'ee\'e6\'e5\'ed\'e8\'ff \f3   \par }</t>
  </si>
  <si>
    <t>{\rtf1\ansi\deff0{\fonttbl{\f0\fnil\fcharset204 MS Sans Serif;}{\f1\fswiss\fcharset0 Tahoma;}{\f2\fswiss\fcharset204 Tahoma;}{\f3\fnil MS Sans Serif;}}  \viewkind4\uc1\pard\lang1049\f0\fs16\'c4\'eb\'ff \'e2\'f1\'e5\'f5  \'f0\'e0\'f1\'f6\'e5\'ed\'ee\'ea. (  \'ef\'f0\'e8 \'f5\'ee\'e7\'ff\'e9\'f1\'f2\'e2\'e5\'ed\'ed\'ee\'ec \'f1\'ef\'ee\'f1\'ee\'e1\'e5 \'ef\'f0\'ee\'e8\'e7\'e2\'ee\'e4\'f1\'f2\'e2\'e0 \'f0\'e0\'e1\'ee\'f2):  \par  \f1\'b7\tab\{\f2\'d5\'ce\'c7\} - ( \'e2\'ea\'eb.)    -  \'ef\'f0\'e8  \'f5\'ee\'e7. \'f1\'ef\'ee\'f1\'ee\'e1\'e5 (\'ea=0,6 \'ea \'cd\'d0 )  \par  \f1\'b7\tab\{\f2\'d5\'ce\'c7\} - ( \'e2\'fb\'ea\'eb.) -  \'ef\'f0\'e8 \'ee\'e1\'fb\'f7\'ed\'ee\'ec \'f1\'ef\'ee\'f1\'ee\'e1\'e5 \'ef\'f0\'ee\'e8\'e7\'e2\'ee\'e4\'f1\'f2\'e2\'e0 \'f0\'e0\'e1\'ee\'f2\f3   \par }</t>
  </si>
  <si>
    <t>Smeta.ru  (495) 974-1589</t>
  </si>
  <si>
    <t>_PS_</t>
  </si>
  <si>
    <t>Smeta.ru</t>
  </si>
  <si>
    <t/>
  </si>
  <si>
    <t>Новый объект</t>
  </si>
  <si>
    <t>Депутатские наказы</t>
  </si>
  <si>
    <t>Сметные нормы списания</t>
  </si>
  <si>
    <t>Коды ценников</t>
  </si>
  <si>
    <t>ФЕР-2001(редакция 2009)</t>
  </si>
  <si>
    <t>Версия 7 от 11.03.2011: ФЕР/ТЕР, п-мо 3757-КК/08  (Стр-во и рек-ия жилых / общ. зд.): Центральные регионы: Текущие цены</t>
  </si>
  <si>
    <t>ФЕР(редакция 2009г)</t>
  </si>
  <si>
    <t>Поправки  для НБ 2001 года от ноября 2006 года</t>
  </si>
  <si>
    <t>Новая локальная смета</t>
  </si>
  <si>
    <t>{8222787D-1797-4F5E-B892-50E27FBF5E5C}</t>
  </si>
  <si>
    <t>1</t>
  </si>
  <si>
    <t>27-04-001-4 прим.</t>
  </si>
  <si>
    <t>Устройство подстилающих и выравнивающих слоев оснований из щебня (устранение ямочности)</t>
  </si>
  <si>
    <t>100 м3</t>
  </si>
  <si>
    <t>ФЕР 2009 сб.27,гл.04,табл.001,поз.4</t>
  </si>
  <si>
    <t>310-3010-1</t>
  </si>
  <si>
    <t>*1,25</t>
  </si>
  <si>
    <t>*1,15</t>
  </si>
  <si>
    <t>100 м3 материала основания (в плотном теле)</t>
  </si>
  <si>
    <t>Общестроительные работы</t>
  </si>
  <si>
    <t>Автомобильные дороги</t>
  </si>
  <si>
    <t>ФЕР-27</t>
  </si>
  <si>
    <t>((*0.85))</t>
  </si>
  <si>
    <t>1,1</t>
  </si>
  <si>
    <t>408-0016</t>
  </si>
  <si>
    <t>Щебень фр.40-70 марка 800</t>
  </si>
  <si>
    <t>м3</t>
  </si>
  <si>
    <t>ФССЦ (2010) ч.4, раздел08, поз.9080</t>
  </si>
  <si>
    <t>Материалы</t>
  </si>
  <si>
    <t>Материалы и конструкции ( монтажные )</t>
  </si>
  <si>
    <t>ФССЦ</t>
  </si>
  <si>
    <t>2</t>
  </si>
  <si>
    <t>68-10-1</t>
  </si>
  <si>
    <t>Устройство выравнивающего слоя из асфальтобетонной смеси: с применением укладчиков асфальтобетона</t>
  </si>
  <si>
    <t>100 т</t>
  </si>
  <si>
    <t>ФЕРр 2009 сб.68,поз.10-1</t>
  </si>
  <si>
    <t>410-0008</t>
  </si>
  <si>
    <t>100 т смеси</t>
  </si>
  <si>
    <t>Ремонтно-строительные работы</t>
  </si>
  <si>
    <t>Благоустройство</t>
  </si>
  <si>
    <t>ФЕРр-68</t>
  </si>
  <si>
    <t>2,1</t>
  </si>
  <si>
    <t>410-0021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</si>
</sst>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0"/>
    <numFmt numFmtId="173" formatCode="0.000"/>
    <numFmt numFmtId="174" formatCode="0.0000"/>
    <numFmt numFmtId="175" formatCode="dd/mm/yy;@"/>
    <numFmt numFmtId="176" formatCode="[$-FC19]d\ mmmm\ yyyy\ &quot;г.&quot;"/>
    <numFmt numFmtId="177" formatCode="0.0"/>
    <numFmt numFmtId="178" formatCode="0.00000"/>
    <numFmt numFmtId="179" formatCode="#,##0.0"/>
    <numFmt numFmtId="180" formatCode="#,##0.0000"/>
    <numFmt numFmtId="181" formatCode="#,##0.00000"/>
    <numFmt numFmtId="182" formatCode="0.000000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color indexed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u val="single"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color indexed="9"/>
      <name val="Arial Cyr"/>
      <family val="0"/>
    </font>
    <font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>
      <alignment horizontal="left" vertical="top"/>
      <protection/>
    </xf>
  </cellStyleXfs>
  <cellXfs count="2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19">
      <alignment/>
      <protection/>
    </xf>
    <xf numFmtId="1" fontId="8" fillId="0" borderId="0" xfId="0" applyNumberFormat="1" applyFont="1" applyFill="1" applyBorder="1" applyAlignment="1">
      <alignment vertical="top" wrapText="1" shrinkToFit="1"/>
    </xf>
    <xf numFmtId="0" fontId="9" fillId="0" borderId="0" xfId="0" applyNumberFormat="1" applyFont="1" applyFill="1" applyBorder="1" applyAlignment="1">
      <alignment horizontal="center" vertical="top" wrapText="1" shrinkToFit="1"/>
    </xf>
    <xf numFmtId="0" fontId="10" fillId="0" borderId="0" xfId="0" applyNumberFormat="1" applyFont="1" applyFill="1" applyBorder="1" applyAlignment="1">
      <alignment vertical="top" wrapText="1" shrinkToFit="1"/>
    </xf>
    <xf numFmtId="0" fontId="11" fillId="0" borderId="0" xfId="0" applyNumberFormat="1" applyFont="1" applyFill="1" applyBorder="1" applyAlignment="1">
      <alignment horizontal="left" vertical="top" wrapText="1" shrinkToFit="1"/>
    </xf>
    <xf numFmtId="0" fontId="9" fillId="0" borderId="0" xfId="0" applyNumberFormat="1" applyFont="1" applyFill="1" applyBorder="1" applyAlignment="1">
      <alignment vertical="top" wrapText="1" shrinkToFit="1"/>
    </xf>
    <xf numFmtId="0" fontId="11" fillId="0" borderId="0" xfId="0" applyNumberFormat="1" applyFont="1" applyFill="1" applyBorder="1" applyAlignment="1">
      <alignment horizontal="right" vertical="top" wrapText="1" shrinkToFit="1"/>
    </xf>
    <xf numFmtId="1" fontId="12" fillId="0" borderId="1" xfId="0" applyNumberFormat="1" applyFont="1" applyFill="1" applyBorder="1" applyAlignment="1">
      <alignment vertical="top" wrapText="1" shrinkToFit="1"/>
    </xf>
    <xf numFmtId="0" fontId="12" fillId="0" borderId="1" xfId="0" applyNumberFormat="1" applyFont="1" applyFill="1" applyBorder="1" applyAlignment="1">
      <alignment vertical="top" wrapText="1" shrinkToFit="1"/>
    </xf>
    <xf numFmtId="0" fontId="12" fillId="0" borderId="0" xfId="0" applyNumberFormat="1" applyFont="1" applyFill="1" applyBorder="1" applyAlignment="1">
      <alignment vertical="top" wrapText="1" shrinkToFit="1"/>
    </xf>
    <xf numFmtId="1" fontId="10" fillId="0" borderId="0" xfId="0" applyNumberFormat="1" applyFont="1" applyFill="1" applyBorder="1" applyAlignment="1">
      <alignment vertical="top" wrapText="1" shrinkToFit="1"/>
    </xf>
    <xf numFmtId="0" fontId="10" fillId="0" borderId="0" xfId="0" applyNumberFormat="1" applyFont="1" applyFill="1" applyBorder="1" applyAlignment="1">
      <alignment horizontal="right" vertical="top" wrapText="1" shrinkToFit="1"/>
    </xf>
    <xf numFmtId="0" fontId="13" fillId="0" borderId="0" xfId="0" applyNumberFormat="1" applyFont="1" applyFill="1" applyBorder="1" applyAlignment="1">
      <alignment vertical="top" wrapText="1" shrinkToFit="1"/>
    </xf>
    <xf numFmtId="0" fontId="13" fillId="0" borderId="0" xfId="0" applyNumberFormat="1" applyFont="1" applyFill="1" applyBorder="1" applyAlignment="1">
      <alignment horizontal="left" vertical="top" wrapText="1" shrinkToFit="1"/>
    </xf>
    <xf numFmtId="0" fontId="9" fillId="0" borderId="0" xfId="0" applyNumberFormat="1" applyFont="1" applyFill="1" applyBorder="1" applyAlignment="1">
      <alignment horizontal="left" vertical="top" wrapText="1" shrinkToFit="1"/>
    </xf>
    <xf numFmtId="0" fontId="9" fillId="0" borderId="0" xfId="0" applyNumberFormat="1" applyFont="1" applyFill="1" applyBorder="1" applyAlignment="1">
      <alignment horizontal="right" vertical="top" wrapText="1" shrinkToFit="1"/>
    </xf>
    <xf numFmtId="0" fontId="10" fillId="0" borderId="0" xfId="0" applyNumberFormat="1" applyFont="1" applyBorder="1" applyAlignment="1" quotePrefix="1">
      <alignment wrapText="1" shrinkToFit="1"/>
    </xf>
    <xf numFmtId="0" fontId="10" fillId="0" borderId="0" xfId="0" applyNumberFormat="1" applyFont="1" applyFill="1" applyBorder="1" applyAlignment="1" applyProtection="1">
      <alignment wrapText="1" shrinkToFit="1"/>
      <protection locked="0"/>
    </xf>
    <xf numFmtId="0" fontId="15" fillId="0" borderId="0" xfId="0" applyNumberFormat="1" applyFont="1" applyBorder="1" applyAlignment="1" quotePrefix="1">
      <alignment wrapText="1" shrinkToFit="1"/>
    </xf>
    <xf numFmtId="0" fontId="8" fillId="0" borderId="0" xfId="0" applyNumberFormat="1" applyFont="1" applyFill="1" applyBorder="1" applyAlignment="1" applyProtection="1">
      <alignment wrapText="1" shrinkToFit="1"/>
      <protection locked="0"/>
    </xf>
    <xf numFmtId="0" fontId="8" fillId="0" borderId="0" xfId="0" applyNumberFormat="1" applyFont="1" applyFill="1" applyBorder="1" applyAlignment="1">
      <alignment wrapText="1" shrinkToFit="1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>
      <alignment horizontal="center" wrapText="1" shrinkToFit="1"/>
    </xf>
    <xf numFmtId="0" fontId="16" fillId="0" borderId="0" xfId="0" applyNumberFormat="1" applyFont="1" applyFill="1" applyBorder="1" applyAlignment="1">
      <alignment horizontal="center" wrapText="1" shrinkToFit="1"/>
    </xf>
    <xf numFmtId="0" fontId="12" fillId="0" borderId="0" xfId="0" applyNumberFormat="1" applyFont="1" applyFill="1" applyBorder="1" applyAlignment="1" quotePrefix="1">
      <alignment horizontal="center" wrapText="1" shrinkToFit="1"/>
    </xf>
    <xf numFmtId="0" fontId="12" fillId="0" borderId="0" xfId="0" applyNumberFormat="1" applyFont="1" applyFill="1" applyBorder="1" applyAlignment="1" applyProtection="1">
      <alignment wrapText="1" shrinkToFit="1"/>
      <protection locked="0"/>
    </xf>
    <xf numFmtId="0" fontId="8" fillId="0" borderId="0" xfId="0" applyNumberFormat="1" applyFont="1" applyFill="1" applyBorder="1" applyAlignment="1" quotePrefix="1">
      <alignment wrapText="1" shrinkToFit="1"/>
    </xf>
    <xf numFmtId="1" fontId="8" fillId="0" borderId="0" xfId="0" applyNumberFormat="1" applyFont="1" applyBorder="1" applyAlignment="1">
      <alignment horizontal="center" wrapText="1" shrinkToFit="1"/>
    </xf>
    <xf numFmtId="0" fontId="12" fillId="0" borderId="1" xfId="0" applyNumberFormat="1" applyFont="1" applyBorder="1" applyAlignment="1">
      <alignment horizontal="right" vertical="top"/>
    </xf>
    <xf numFmtId="0" fontId="12" fillId="0" borderId="1" xfId="0" applyNumberFormat="1" applyFont="1" applyBorder="1" applyAlignment="1">
      <alignment horizontal="left" vertical="top"/>
    </xf>
    <xf numFmtId="0" fontId="16" fillId="0" borderId="1" xfId="0" applyNumberFormat="1" applyFont="1" applyBorder="1" applyAlignment="1">
      <alignment horizontal="left" vertical="top"/>
    </xf>
    <xf numFmtId="0" fontId="17" fillId="0" borderId="2" xfId="0" applyNumberFormat="1" applyFont="1" applyFill="1" applyBorder="1" applyAlignment="1">
      <alignment vertical="center" wrapText="1" shrinkToFit="1"/>
    </xf>
    <xf numFmtId="0" fontId="17" fillId="0" borderId="3" xfId="0" applyNumberFormat="1" applyFont="1" applyFill="1" applyBorder="1" applyAlignment="1">
      <alignment vertical="center" wrapText="1" shrinkToFit="1"/>
    </xf>
    <xf numFmtId="0" fontId="17" fillId="0" borderId="4" xfId="0" applyNumberFormat="1" applyFont="1" applyFill="1" applyBorder="1" applyAlignment="1">
      <alignment vertical="center" wrapText="1" shrinkToFit="1"/>
    </xf>
    <xf numFmtId="0" fontId="17" fillId="0" borderId="5" xfId="0" applyNumberFormat="1" applyFont="1" applyFill="1" applyBorder="1" applyAlignment="1">
      <alignment vertical="center" wrapText="1" shrinkToFit="1"/>
    </xf>
    <xf numFmtId="1" fontId="18" fillId="0" borderId="6" xfId="0" applyNumberFormat="1" applyFont="1" applyFill="1" applyBorder="1" applyAlignment="1" applyProtection="1">
      <alignment horizontal="center" vertical="top" wrapText="1" shrinkToFit="1"/>
      <protection/>
    </xf>
    <xf numFmtId="0" fontId="18" fillId="0" borderId="6" xfId="0" applyNumberFormat="1" applyFont="1" applyFill="1" applyBorder="1" applyAlignment="1">
      <alignment horizontal="center" vertical="top" wrapText="1" shrinkToFit="1"/>
    </xf>
    <xf numFmtId="0" fontId="18" fillId="0" borderId="6" xfId="0" applyNumberFormat="1" applyFont="1" applyFill="1" applyBorder="1" applyAlignment="1" applyProtection="1">
      <alignment horizontal="center" vertical="top" wrapText="1" shrinkToFit="1"/>
      <protection/>
    </xf>
    <xf numFmtId="0" fontId="18" fillId="0" borderId="7" xfId="0" applyNumberFormat="1" applyFont="1" applyFill="1" applyBorder="1" applyAlignment="1">
      <alignment horizontal="center" vertical="top" wrapText="1" shrinkToFit="1"/>
    </xf>
    <xf numFmtId="0" fontId="18" fillId="0" borderId="8" xfId="0" applyNumberFormat="1" applyFont="1" applyFill="1" applyBorder="1" applyAlignment="1">
      <alignment horizontal="center" vertical="top" wrapText="1" shrinkToFit="1"/>
    </xf>
    <xf numFmtId="0" fontId="17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8" fillId="0" borderId="0" xfId="0" applyNumberFormat="1" applyFont="1" applyFill="1" applyBorder="1" applyAlignment="1" applyProtection="1">
      <alignment vertical="top" wrapText="1" shrinkToFit="1"/>
      <protection locked="0"/>
    </xf>
    <xf numFmtId="0" fontId="8" fillId="0" borderId="0" xfId="0" applyNumberFormat="1" applyFont="1" applyFill="1" applyBorder="1" applyAlignment="1">
      <alignment vertical="top" wrapText="1" shrinkToFit="1"/>
    </xf>
    <xf numFmtId="1" fontId="11" fillId="0" borderId="9" xfId="0" applyNumberFormat="1" applyFont="1" applyFill="1" applyBorder="1" applyAlignment="1" applyProtection="1">
      <alignment horizontal="center" vertical="top" wrapText="1" shrinkToFit="1"/>
      <protection/>
    </xf>
    <xf numFmtId="0" fontId="18" fillId="0" borderId="0" xfId="0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11" fillId="0" borderId="0" xfId="0" applyNumberFormat="1" applyFont="1" applyFill="1" applyBorder="1" applyAlignment="1">
      <alignment horizontal="center" wrapText="1" shrinkToFit="1"/>
    </xf>
    <xf numFmtId="1" fontId="12" fillId="0" borderId="0" xfId="0" applyNumberFormat="1" applyFont="1" applyFill="1" applyBorder="1" applyAlignment="1">
      <alignment horizontal="right" wrapText="1" shrinkToFit="1"/>
    </xf>
    <xf numFmtId="1" fontId="12" fillId="0" borderId="0" xfId="0" applyNumberFormat="1" applyFont="1" applyFill="1" applyBorder="1" applyAlignment="1">
      <alignment horizontal="right"/>
    </xf>
    <xf numFmtId="2" fontId="12" fillId="0" borderId="3" xfId="0" applyNumberFormat="1" applyFont="1" applyFill="1" applyBorder="1" applyAlignment="1">
      <alignment/>
    </xf>
    <xf numFmtId="1" fontId="11" fillId="0" borderId="10" xfId="0" applyNumberFormat="1" applyFont="1" applyFill="1" applyBorder="1" applyAlignment="1" applyProtection="1" quotePrefix="1">
      <alignment horizontal="right" vertical="top" wrapText="1" shrinkToFit="1"/>
      <protection/>
    </xf>
    <xf numFmtId="0" fontId="11" fillId="0" borderId="11" xfId="0" applyNumberFormat="1" applyFont="1" applyFill="1" applyBorder="1" applyAlignment="1" quotePrefix="1">
      <alignment horizontal="right" vertical="top" wrapText="1"/>
    </xf>
    <xf numFmtId="0" fontId="12" fillId="0" borderId="11" xfId="0" applyNumberFormat="1" applyFont="1" applyFill="1" applyBorder="1" applyAlignment="1">
      <alignment horizontal="right" vertical="top" wrapText="1" shrinkToFit="1"/>
    </xf>
    <xf numFmtId="0" fontId="11" fillId="0" borderId="11" xfId="0" applyNumberFormat="1" applyFont="1" applyFill="1" applyBorder="1" applyAlignment="1" quotePrefix="1">
      <alignment wrapText="1" shrinkToFit="1"/>
    </xf>
    <xf numFmtId="2" fontId="20" fillId="0" borderId="12" xfId="0" applyNumberFormat="1" applyFont="1" applyFill="1" applyBorder="1" applyAlignment="1">
      <alignment horizontal="center" vertical="center" wrapText="1" shrinkToFit="1"/>
    </xf>
    <xf numFmtId="2" fontId="12" fillId="0" borderId="11" xfId="0" applyNumberFormat="1" applyFont="1" applyFill="1" applyBorder="1" applyAlignment="1">
      <alignment horizontal="right" vertical="top" wrapText="1" shrinkToFit="1"/>
    </xf>
    <xf numFmtId="1" fontId="11" fillId="0" borderId="11" xfId="0" applyNumberFormat="1" applyFont="1" applyFill="1" applyBorder="1" applyAlignment="1" quotePrefix="1">
      <alignment horizontal="right" wrapText="1" shrinkToFit="1"/>
    </xf>
    <xf numFmtId="1" fontId="12" fillId="0" borderId="11" xfId="0" applyNumberFormat="1" applyFont="1" applyFill="1" applyBorder="1" applyAlignment="1" quotePrefix="1">
      <alignment horizontal="right" wrapText="1" shrinkToFit="1"/>
    </xf>
    <xf numFmtId="1" fontId="12" fillId="0" borderId="11" xfId="0" applyNumberFormat="1" applyFont="1" applyFill="1" applyBorder="1" applyAlignment="1">
      <alignment horizontal="right" vertical="top" wrapText="1" shrinkToFit="1"/>
    </xf>
    <xf numFmtId="2" fontId="12" fillId="0" borderId="13" xfId="0" applyNumberFormat="1" applyFont="1" applyFill="1" applyBorder="1" applyAlignment="1">
      <alignment horizontal="right" vertical="top" wrapText="1" shrinkToFit="1"/>
    </xf>
    <xf numFmtId="2" fontId="12" fillId="0" borderId="14" xfId="0" applyNumberFormat="1" applyFont="1" applyFill="1" applyBorder="1" applyAlignment="1" quotePrefix="1">
      <alignment vertical="top" wrapText="1" shrinkToFit="1"/>
    </xf>
    <xf numFmtId="1" fontId="11" fillId="0" borderId="9" xfId="0" applyNumberFormat="1" applyFont="1" applyFill="1" applyBorder="1" applyAlignment="1" applyProtection="1" quotePrefix="1">
      <alignment horizontal="right" vertical="top" wrapText="1" shrinkToFit="1"/>
      <protection/>
    </xf>
    <xf numFmtId="0" fontId="11" fillId="0" borderId="0" xfId="0" applyNumberFormat="1" applyFont="1" applyFill="1" applyBorder="1" applyAlignment="1" quotePrefix="1">
      <alignment horizontal="right" vertical="top" wrapText="1"/>
    </xf>
    <xf numFmtId="0" fontId="19" fillId="0" borderId="0" xfId="0" applyNumberFormat="1" applyFont="1" applyFill="1" applyBorder="1" applyAlignment="1">
      <alignment horizontal="right" vertical="top" wrapText="1" shrinkToFit="1"/>
    </xf>
    <xf numFmtId="0" fontId="19" fillId="0" borderId="0" xfId="0" applyNumberFormat="1" applyFont="1" applyFill="1" applyBorder="1" applyAlignment="1">
      <alignment vertical="top" wrapText="1" shrinkToFit="1"/>
    </xf>
    <xf numFmtId="2" fontId="19" fillId="0" borderId="0" xfId="0" applyNumberFormat="1" applyFont="1" applyFill="1" applyBorder="1" applyAlignment="1">
      <alignment horizontal="center" vertical="top" wrapText="1" shrinkToFit="1"/>
    </xf>
    <xf numFmtId="0" fontId="19" fillId="0" borderId="0" xfId="0" applyNumberFormat="1" applyFont="1" applyFill="1" applyBorder="1" applyAlignment="1">
      <alignment horizontal="center" vertical="top" wrapText="1" shrinkToFit="1"/>
    </xf>
    <xf numFmtId="0" fontId="8" fillId="0" borderId="0" xfId="0" applyNumberFormat="1" applyFont="1" applyFill="1" applyBorder="1" applyAlignment="1">
      <alignment horizontal="center" vertical="top" wrapText="1" shrinkToFit="1"/>
    </xf>
    <xf numFmtId="2" fontId="19" fillId="0" borderId="0" xfId="0" applyNumberFormat="1" applyFont="1" applyFill="1" applyBorder="1" applyAlignment="1">
      <alignment horizontal="right" wrapText="1" shrinkToFit="1"/>
    </xf>
    <xf numFmtId="0" fontId="8" fillId="0" borderId="0" xfId="0" applyNumberFormat="1" applyFont="1" applyFill="1" applyBorder="1" applyAlignment="1">
      <alignment horizontal="right" vertical="top" wrapText="1" shrinkToFit="1"/>
    </xf>
    <xf numFmtId="1" fontId="12" fillId="0" borderId="0" xfId="0" applyNumberFormat="1" applyFont="1" applyFill="1" applyBorder="1" applyAlignment="1">
      <alignment horizontal="right" vertical="top" wrapText="1" shrinkToFit="1"/>
    </xf>
    <xf numFmtId="1" fontId="12" fillId="0" borderId="15" xfId="0" applyNumberFormat="1" applyFont="1" applyFill="1" applyBorder="1" applyAlignment="1">
      <alignment horizontal="right" vertical="top" wrapText="1" shrinkToFit="1"/>
    </xf>
    <xf numFmtId="2" fontId="12" fillId="0" borderId="16" xfId="0" applyNumberFormat="1" applyFont="1" applyFill="1" applyBorder="1" applyAlignment="1">
      <alignment horizontal="right" vertical="top" wrapText="1" shrinkToFit="1"/>
    </xf>
    <xf numFmtId="2" fontId="12" fillId="0" borderId="16" xfId="0" applyNumberFormat="1" applyFont="1" applyFill="1" applyBorder="1" applyAlignment="1" quotePrefix="1">
      <alignment vertical="top" wrapText="1" shrinkToFit="1"/>
    </xf>
    <xf numFmtId="2" fontId="12" fillId="0" borderId="3" xfId="0" applyNumberFormat="1" applyFont="1" applyFill="1" applyBorder="1" applyAlignment="1">
      <alignment horizontal="right" vertical="top" wrapText="1" shrinkToFit="1"/>
    </xf>
    <xf numFmtId="2" fontId="12" fillId="0" borderId="3" xfId="0" applyNumberFormat="1" applyFont="1" applyFill="1" applyBorder="1" applyAlignment="1" quotePrefix="1">
      <alignment vertical="top" wrapText="1" shrinkToFit="1"/>
    </xf>
    <xf numFmtId="2" fontId="12" fillId="0" borderId="14" xfId="0" applyNumberFormat="1" applyFont="1" applyFill="1" applyBorder="1" applyAlignment="1">
      <alignment horizontal="right" vertical="top" wrapText="1" shrinkToFit="1"/>
    </xf>
    <xf numFmtId="1" fontId="18" fillId="0" borderId="17" xfId="0" applyNumberFormat="1" applyFont="1" applyFill="1" applyBorder="1" applyAlignment="1" applyProtection="1" quotePrefix="1">
      <alignment horizontal="right" vertical="top" wrapText="1" shrinkToFit="1"/>
      <protection/>
    </xf>
    <xf numFmtId="0" fontId="18" fillId="0" borderId="12" xfId="0" applyNumberFormat="1" applyFont="1" applyFill="1" applyBorder="1" applyAlignment="1" quotePrefix="1">
      <alignment horizontal="right" vertical="top" wrapText="1"/>
    </xf>
    <xf numFmtId="2" fontId="9" fillId="0" borderId="12" xfId="0" applyNumberFormat="1" applyFont="1" applyFill="1" applyBorder="1" applyAlignment="1">
      <alignment horizontal="center" vertical="center" wrapText="1" shrinkToFit="1"/>
    </xf>
    <xf numFmtId="0" fontId="8" fillId="0" borderId="12" xfId="0" applyNumberFormat="1" applyFont="1" applyFill="1" applyBorder="1" applyAlignment="1">
      <alignment horizontal="right" vertical="top" wrapText="1" shrinkToFit="1"/>
    </xf>
    <xf numFmtId="1" fontId="21" fillId="0" borderId="13" xfId="0" applyNumberFormat="1" applyFont="1" applyFill="1" applyBorder="1" applyAlignment="1">
      <alignment horizontal="center" vertical="center" wrapText="1" shrinkToFit="1"/>
    </xf>
    <xf numFmtId="2" fontId="20" fillId="0" borderId="13" xfId="0" applyNumberFormat="1" applyFont="1" applyFill="1" applyBorder="1" applyAlignment="1">
      <alignment vertical="center" wrapText="1" shrinkToFit="1"/>
    </xf>
    <xf numFmtId="1" fontId="18" fillId="0" borderId="10" xfId="0" applyNumberFormat="1" applyFont="1" applyFill="1" applyBorder="1" applyAlignment="1" applyProtection="1" quotePrefix="1">
      <alignment horizontal="right" vertical="top" wrapText="1" shrinkToFit="1"/>
      <protection/>
    </xf>
    <xf numFmtId="0" fontId="18" fillId="0" borderId="11" xfId="0" applyNumberFormat="1" applyFont="1" applyFill="1" applyBorder="1" applyAlignment="1" quotePrefix="1">
      <alignment horizontal="right" vertical="top" wrapText="1"/>
    </xf>
    <xf numFmtId="2" fontId="9" fillId="0" borderId="11" xfId="0" applyNumberFormat="1" applyFont="1" applyFill="1" applyBorder="1" applyAlignment="1">
      <alignment horizontal="center" vertical="center" wrapText="1" shrinkToFit="1"/>
    </xf>
    <xf numFmtId="2" fontId="12" fillId="0" borderId="15" xfId="0" applyNumberFormat="1" applyFont="1" applyFill="1" applyBorder="1" applyAlignment="1">
      <alignment horizontal="right" wrapText="1"/>
    </xf>
    <xf numFmtId="1" fontId="12" fillId="0" borderId="12" xfId="0" applyNumberFormat="1" applyFont="1" applyFill="1" applyBorder="1" applyAlignment="1">
      <alignment horizontal="right" wrapText="1"/>
    </xf>
    <xf numFmtId="1" fontId="12" fillId="0" borderId="0" xfId="0" applyNumberFormat="1" applyFont="1" applyFill="1" applyBorder="1" applyAlignment="1">
      <alignment horizontal="right" wrapText="1"/>
    </xf>
    <xf numFmtId="2" fontId="12" fillId="0" borderId="13" xfId="0" applyNumberFormat="1" applyFont="1" applyFill="1" applyBorder="1" applyAlignment="1">
      <alignment horizontal="right" wrapText="1"/>
    </xf>
    <xf numFmtId="1" fontId="12" fillId="0" borderId="18" xfId="0" applyNumberFormat="1" applyFont="1" applyFill="1" applyBorder="1" applyAlignment="1" applyProtection="1" quotePrefix="1">
      <alignment vertical="top" wrapText="1" shrinkToFit="1"/>
      <protection/>
    </xf>
    <xf numFmtId="0" fontId="22" fillId="0" borderId="15" xfId="0" applyNumberFormat="1" applyFont="1" applyFill="1" applyBorder="1" applyAlignment="1">
      <alignment vertical="top" wrapText="1"/>
    </xf>
    <xf numFmtId="0" fontId="22" fillId="0" borderId="15" xfId="0" applyNumberFormat="1" applyFont="1" applyFill="1" applyBorder="1" applyAlignment="1">
      <alignment horizontal="left" vertical="top" wrapText="1" shrinkToFit="1"/>
    </xf>
    <xf numFmtId="0" fontId="22" fillId="0" borderId="15" xfId="0" applyNumberFormat="1" applyFont="1" applyFill="1" applyBorder="1" applyAlignment="1" applyProtection="1" quotePrefix="1">
      <alignment horizontal="right" vertical="top" wrapText="1" shrinkToFit="1"/>
      <protection locked="0"/>
    </xf>
    <xf numFmtId="0" fontId="22" fillId="0" borderId="15" xfId="0" applyNumberFormat="1" applyFont="1" applyFill="1" applyBorder="1" applyAlignment="1" applyProtection="1">
      <alignment horizontal="right" vertical="top" wrapText="1" shrinkToFit="1"/>
      <protection locked="0"/>
    </xf>
    <xf numFmtId="0" fontId="22" fillId="0" borderId="15" xfId="0" applyNumberFormat="1" applyFont="1" applyFill="1" applyBorder="1" applyAlignment="1" applyProtection="1">
      <alignment vertical="top" wrapText="1" shrinkToFit="1"/>
      <protection locked="0"/>
    </xf>
    <xf numFmtId="0" fontId="22" fillId="0" borderId="16" xfId="0" applyNumberFormat="1" applyFont="1" applyFill="1" applyBorder="1" applyAlignment="1" applyProtection="1">
      <alignment vertical="top" wrapText="1" shrinkToFit="1"/>
      <protection locked="0"/>
    </xf>
    <xf numFmtId="0" fontId="19" fillId="0" borderId="19" xfId="0" applyNumberFormat="1" applyFont="1" applyFill="1" applyBorder="1" applyAlignment="1" applyProtection="1">
      <alignment vertical="top" wrapText="1" shrinkToFit="1"/>
      <protection locked="0"/>
    </xf>
    <xf numFmtId="1" fontId="12" fillId="0" borderId="10" xfId="0" applyNumberFormat="1" applyFont="1" applyFill="1" applyBorder="1" applyAlignment="1" applyProtection="1">
      <alignment vertical="top" wrapText="1" shrinkToFit="1"/>
      <protection/>
    </xf>
    <xf numFmtId="0" fontId="22" fillId="0" borderId="11" xfId="0" applyNumberFormat="1" applyFont="1" applyFill="1" applyBorder="1" applyAlignment="1" applyProtection="1">
      <alignment vertical="top" wrapText="1" shrinkToFit="1"/>
      <protection/>
    </xf>
    <xf numFmtId="0" fontId="22" fillId="0" borderId="11" xfId="0" applyNumberFormat="1" applyFont="1" applyFill="1" applyBorder="1" applyAlignment="1">
      <alignment horizontal="right" vertical="top" wrapText="1" shrinkToFit="1"/>
    </xf>
    <xf numFmtId="0" fontId="22" fillId="0" borderId="11" xfId="0" applyNumberFormat="1" applyFont="1" applyFill="1" applyBorder="1" applyAlignment="1" applyProtection="1" quotePrefix="1">
      <alignment horizontal="right" vertical="top" wrapText="1" shrinkToFit="1"/>
      <protection locked="0"/>
    </xf>
    <xf numFmtId="0" fontId="22" fillId="0" borderId="11" xfId="0" applyNumberFormat="1" applyFont="1" applyFill="1" applyBorder="1" applyAlignment="1" applyProtection="1">
      <alignment horizontal="right" vertical="top" wrapText="1" shrinkToFit="1"/>
      <protection locked="0"/>
    </xf>
    <xf numFmtId="0" fontId="22" fillId="0" borderId="11" xfId="0" applyNumberFormat="1" applyFont="1" applyFill="1" applyBorder="1" applyAlignment="1" applyProtection="1">
      <alignment vertical="top" wrapText="1" shrinkToFit="1"/>
      <protection locked="0"/>
    </xf>
    <xf numFmtId="0" fontId="22" fillId="0" borderId="14" xfId="0" applyNumberFormat="1" applyFont="1" applyFill="1" applyBorder="1" applyAlignment="1" applyProtection="1">
      <alignment vertical="top" wrapText="1" shrinkToFit="1"/>
      <protection locked="0"/>
    </xf>
    <xf numFmtId="0" fontId="19" fillId="0" borderId="1" xfId="0" applyNumberFormat="1" applyFont="1" applyFill="1" applyBorder="1" applyAlignment="1" applyProtection="1">
      <alignment vertical="top" wrapText="1" shrinkToFit="1"/>
      <protection locked="0"/>
    </xf>
    <xf numFmtId="1" fontId="11" fillId="0" borderId="0" xfId="0" applyNumberFormat="1" applyFont="1" applyFill="1" applyBorder="1" applyAlignment="1">
      <alignment vertical="top" wrapText="1" shrinkToFit="1"/>
    </xf>
    <xf numFmtId="1" fontId="18" fillId="0" borderId="19" xfId="0" applyNumberFormat="1" applyFont="1" applyFill="1" applyBorder="1" applyAlignment="1">
      <alignment horizontal="center" vertical="top" wrapText="1" shrinkToFit="1"/>
    </xf>
    <xf numFmtId="0" fontId="18" fillId="0" borderId="19" xfId="0" applyNumberFormat="1" applyFont="1" applyFill="1" applyBorder="1" applyAlignment="1">
      <alignment horizontal="center" vertical="top" wrapText="1" shrinkToFit="1"/>
    </xf>
    <xf numFmtId="0" fontId="18" fillId="0" borderId="19" xfId="0" applyNumberFormat="1" applyFont="1" applyFill="1" applyBorder="1" applyAlignment="1">
      <alignment horizontal="right" vertical="top" wrapText="1" shrinkToFit="1"/>
    </xf>
    <xf numFmtId="0" fontId="24" fillId="0" borderId="19" xfId="0" applyNumberFormat="1" applyFont="1" applyFill="1" applyBorder="1" applyAlignment="1">
      <alignment vertical="top" wrapText="1" shrinkToFit="1"/>
    </xf>
    <xf numFmtId="0" fontId="18" fillId="0" borderId="19" xfId="0" applyNumberFormat="1" applyFont="1" applyFill="1" applyBorder="1" applyAlignment="1" applyProtection="1">
      <alignment vertical="top" wrapText="1" shrinkToFit="1"/>
      <protection/>
    </xf>
    <xf numFmtId="0" fontId="24" fillId="0" borderId="19" xfId="0" applyNumberFormat="1" applyFont="1" applyFill="1" applyBorder="1" applyAlignment="1">
      <alignment horizontal="center" vertical="top" wrapText="1" shrinkToFit="1"/>
    </xf>
    <xf numFmtId="0" fontId="24" fillId="0" borderId="0" xfId="0" applyNumberFormat="1" applyFont="1" applyFill="1" applyBorder="1" applyAlignment="1">
      <alignment horizontal="center" vertical="top" wrapText="1" shrinkToFit="1"/>
    </xf>
    <xf numFmtId="1" fontId="18" fillId="0" borderId="0" xfId="0" applyNumberFormat="1" applyFont="1" applyFill="1" applyBorder="1" applyAlignment="1">
      <alignment horizontal="center" vertical="top" wrapText="1" shrinkToFit="1"/>
    </xf>
    <xf numFmtId="0" fontId="18" fillId="0" borderId="0" xfId="0" applyNumberFormat="1" applyFont="1" applyFill="1" applyBorder="1" applyAlignment="1">
      <alignment horizontal="center" vertical="top" wrapText="1" shrinkToFit="1"/>
    </xf>
    <xf numFmtId="0" fontId="18" fillId="0" borderId="0" xfId="0" applyNumberFormat="1" applyFont="1" applyFill="1" applyBorder="1" applyAlignment="1">
      <alignment horizontal="right" vertical="top" wrapText="1" shrinkToFit="1"/>
    </xf>
    <xf numFmtId="0" fontId="24" fillId="0" borderId="0" xfId="0" applyNumberFormat="1" applyFont="1" applyFill="1" applyBorder="1" applyAlignment="1">
      <alignment vertical="top" wrapText="1" shrinkToFit="1"/>
    </xf>
    <xf numFmtId="0" fontId="18" fillId="0" borderId="0" xfId="0" applyNumberFormat="1" applyFont="1" applyFill="1" applyBorder="1" applyAlignment="1" applyProtection="1">
      <alignment vertical="top" wrapText="1" shrinkToFit="1"/>
      <protection/>
    </xf>
    <xf numFmtId="1" fontId="24" fillId="0" borderId="0" xfId="0" applyNumberFormat="1" applyFont="1" applyFill="1" applyBorder="1" applyAlignment="1" applyProtection="1">
      <alignment vertical="top" wrapText="1" shrinkToFit="1"/>
      <protection/>
    </xf>
    <xf numFmtId="0" fontId="18" fillId="0" borderId="0" xfId="0" applyNumberFormat="1" applyFont="1" applyFill="1" applyBorder="1" applyAlignment="1" quotePrefix="1">
      <alignment horizontal="right" vertical="top" wrapText="1" shrinkToFit="1"/>
    </xf>
    <xf numFmtId="0" fontId="24" fillId="0" borderId="0" xfId="0" applyNumberFormat="1" applyFont="1" applyFill="1" applyBorder="1" applyAlignment="1" applyProtection="1" quotePrefix="1">
      <alignment horizontal="left" vertical="top" wrapText="1" shrinkToFit="1"/>
      <protection locked="0"/>
    </xf>
    <xf numFmtId="1" fontId="24" fillId="0" borderId="0" xfId="0" applyNumberFormat="1" applyFont="1" applyFill="1" applyBorder="1" applyAlignment="1">
      <alignment vertical="top" wrapText="1" shrinkToFit="1"/>
    </xf>
    <xf numFmtId="0" fontId="24" fillId="0" borderId="0" xfId="0" applyNumberFormat="1" applyFont="1" applyFill="1" applyBorder="1" applyAlignment="1" applyProtection="1">
      <alignment vertical="top" wrapText="1" shrinkToFit="1"/>
      <protection locked="0"/>
    </xf>
    <xf numFmtId="0" fontId="11" fillId="0" borderId="0" xfId="0" applyNumberFormat="1" applyFont="1" applyFill="1" applyBorder="1" applyAlignment="1">
      <alignment vertical="top" wrapText="1" shrinkToFit="1"/>
    </xf>
    <xf numFmtId="0" fontId="24" fillId="0" borderId="0" xfId="0" applyNumberFormat="1" applyFont="1" applyFill="1" applyBorder="1" applyAlignment="1">
      <alignment horizontal="right" vertical="top" wrapText="1" shrinkToFit="1"/>
    </xf>
    <xf numFmtId="1" fontId="12" fillId="0" borderId="0" xfId="0" applyNumberFormat="1" applyFont="1" applyFill="1" applyBorder="1" applyAlignment="1">
      <alignment vertical="top" wrapText="1" shrinkToFit="1"/>
    </xf>
    <xf numFmtId="0" fontId="24" fillId="0" borderId="1" xfId="0" applyNumberFormat="1" applyFont="1" applyFill="1" applyBorder="1" applyAlignment="1">
      <alignment horizontal="center" vertical="top" wrapText="1" shrinkToFit="1"/>
    </xf>
    <xf numFmtId="0" fontId="10" fillId="0" borderId="0" xfId="0" applyNumberFormat="1" applyFont="1" applyFill="1" applyBorder="1" applyAlignment="1" applyProtection="1">
      <alignment horizontal="center" wrapText="1" shrinkToFit="1"/>
      <protection locked="0"/>
    </xf>
    <xf numFmtId="0" fontId="12" fillId="0" borderId="6" xfId="0" applyNumberFormat="1" applyFont="1" applyFill="1" applyBorder="1" applyAlignment="1" applyProtection="1">
      <alignment horizontal="center" wrapText="1" shrinkToFit="1"/>
      <protection locked="0"/>
    </xf>
    <xf numFmtId="0" fontId="24" fillId="0" borderId="6" xfId="0" applyNumberFormat="1" applyFont="1" applyFill="1" applyBorder="1" applyAlignment="1" applyProtection="1">
      <alignment horizontal="center" wrapText="1" shrinkToFit="1"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>
      <alignment/>
    </xf>
    <xf numFmtId="14" fontId="12" fillId="0" borderId="6" xfId="0" applyNumberFormat="1" applyFont="1" applyFill="1" applyBorder="1" applyAlignment="1" applyProtection="1">
      <alignment horizontal="center" wrapText="1" shrinkToFit="1"/>
      <protection locked="0"/>
    </xf>
    <xf numFmtId="0" fontId="24" fillId="0" borderId="0" xfId="0" applyNumberFormat="1" applyFont="1" applyFill="1" applyBorder="1" applyAlignment="1">
      <alignment horizontal="left" vertical="top" wrapText="1" shrinkToFit="1"/>
    </xf>
    <xf numFmtId="0" fontId="24" fillId="0" borderId="0" xfId="0" applyNumberFormat="1" applyFont="1" applyFill="1" applyBorder="1" applyAlignment="1" applyProtection="1" quotePrefix="1">
      <alignment vertical="top" wrapText="1" shrinkToFit="1"/>
      <protection locked="0"/>
    </xf>
    <xf numFmtId="0" fontId="7" fillId="0" borderId="1" xfId="19" applyBorder="1">
      <alignment/>
      <protection/>
    </xf>
    <xf numFmtId="0" fontId="17" fillId="0" borderId="6" xfId="0" applyNumberFormat="1" applyFont="1" applyBorder="1" applyAlignment="1">
      <alignment horizontal="center" vertical="center" wrapText="1" shrinkToFit="1"/>
    </xf>
    <xf numFmtId="0" fontId="17" fillId="0" borderId="9" xfId="0" applyNumberFormat="1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 wrapText="1" shrinkToFit="1"/>
    </xf>
    <xf numFmtId="0" fontId="17" fillId="0" borderId="6" xfId="0" applyNumberFormat="1" applyFont="1" applyBorder="1" applyAlignment="1" quotePrefix="1">
      <alignment horizontal="center" vertical="center" wrapText="1" shrinkToFit="1"/>
    </xf>
    <xf numFmtId="0" fontId="9" fillId="0" borderId="1" xfId="0" applyNumberFormat="1" applyFont="1" applyFill="1" applyBorder="1" applyAlignment="1" applyProtection="1">
      <alignment horizontal="center" wrapText="1" shrinkToFit="1"/>
      <protection locked="0"/>
    </xf>
    <xf numFmtId="0" fontId="12" fillId="0" borderId="0" xfId="0" applyNumberFormat="1" applyFont="1" applyFill="1" applyBorder="1" applyAlignment="1">
      <alignment horizontal="center" wrapText="1" shrinkToFit="1"/>
    </xf>
    <xf numFmtId="0" fontId="12" fillId="0" borderId="0" xfId="0" applyNumberFormat="1" applyFont="1" applyFill="1" applyBorder="1" applyAlignment="1">
      <alignment horizontal="left"/>
    </xf>
    <xf numFmtId="0" fontId="12" fillId="0" borderId="1" xfId="0" applyNumberFormat="1" applyFont="1" applyBorder="1" applyAlignment="1">
      <alignment horizontal="left" wrapText="1" shrinkToFit="1"/>
    </xf>
    <xf numFmtId="1" fontId="17" fillId="0" borderId="6" xfId="0" applyNumberFormat="1" applyFont="1" applyBorder="1" applyAlignment="1" quotePrefix="1">
      <alignment horizontal="center" vertical="center" wrapText="1" shrinkToFit="1"/>
    </xf>
    <xf numFmtId="1" fontId="17" fillId="0" borderId="6" xfId="0" applyNumberFormat="1" applyFont="1" applyBorder="1" applyAlignment="1">
      <alignment horizontal="center" vertical="center" wrapText="1" shrinkToFit="1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18">
      <alignment/>
      <protection/>
    </xf>
    <xf numFmtId="0" fontId="31" fillId="0" borderId="21" xfId="18" applyFont="1" applyBorder="1" applyAlignment="1">
      <alignment horizontal="center" vertical="center" wrapText="1"/>
      <protection/>
    </xf>
    <xf numFmtId="0" fontId="31" fillId="0" borderId="22" xfId="18" applyFont="1" applyBorder="1" applyAlignment="1">
      <alignment horizontal="center" vertical="center" wrapText="1"/>
      <protection/>
    </xf>
    <xf numFmtId="0" fontId="31" fillId="0" borderId="23" xfId="18" applyFont="1" applyBorder="1" applyAlignment="1">
      <alignment horizontal="center" vertical="center" wrapText="1"/>
      <protection/>
    </xf>
    <xf numFmtId="0" fontId="32" fillId="0" borderId="24" xfId="18" applyFont="1" applyBorder="1" applyAlignment="1">
      <alignment horizontal="center" vertical="center" wrapText="1"/>
      <protection/>
    </xf>
    <xf numFmtId="0" fontId="32" fillId="0" borderId="20" xfId="18" applyFont="1" applyBorder="1" applyAlignment="1">
      <alignment horizontal="left" vertical="center" wrapText="1"/>
      <protection/>
    </xf>
    <xf numFmtId="0" fontId="32" fillId="0" borderId="20" xfId="18" applyFont="1" applyBorder="1" applyAlignment="1">
      <alignment horizontal="center" vertical="center" wrapText="1"/>
      <protection/>
    </xf>
    <xf numFmtId="2" fontId="32" fillId="0" borderId="25" xfId="18" applyNumberFormat="1" applyFont="1" applyBorder="1" applyAlignment="1">
      <alignment horizontal="center" vertical="center" wrapText="1"/>
      <protection/>
    </xf>
    <xf numFmtId="0" fontId="32" fillId="0" borderId="26" xfId="18" applyFont="1" applyBorder="1" applyAlignment="1">
      <alignment horizontal="center" vertical="center" wrapText="1"/>
      <protection/>
    </xf>
    <xf numFmtId="0" fontId="32" fillId="0" borderId="6" xfId="18" applyFont="1" applyBorder="1" applyAlignment="1">
      <alignment horizontal="left" vertical="center" wrapText="1"/>
      <protection/>
    </xf>
    <xf numFmtId="0" fontId="32" fillId="0" borderId="6" xfId="18" applyFont="1" applyBorder="1" applyAlignment="1">
      <alignment horizontal="center" vertical="center" wrapText="1"/>
      <protection/>
    </xf>
    <xf numFmtId="2" fontId="32" fillId="0" borderId="27" xfId="18" applyNumberFormat="1" applyFont="1" applyBorder="1" applyAlignment="1">
      <alignment horizontal="center" vertical="center" wrapText="1"/>
      <protection/>
    </xf>
    <xf numFmtId="0" fontId="32" fillId="0" borderId="27" xfId="18" applyFont="1" applyBorder="1" applyAlignment="1">
      <alignment horizontal="center" vertical="center" wrapText="1"/>
      <protection/>
    </xf>
    <xf numFmtId="0" fontId="7" fillId="0" borderId="0" xfId="18" applyAlignment="1">
      <alignment horizontal="center" vertical="center" wrapText="1"/>
      <protection/>
    </xf>
    <xf numFmtId="0" fontId="7" fillId="0" borderId="0" xfId="18" applyAlignment="1">
      <alignment horizontal="left" vertical="center" wrapText="1"/>
      <protection/>
    </xf>
    <xf numFmtId="0" fontId="33" fillId="0" borderId="28" xfId="18" applyFont="1" applyBorder="1" applyAlignment="1">
      <alignment horizontal="center" vertical="center" wrapText="1"/>
      <protection/>
    </xf>
    <xf numFmtId="0" fontId="33" fillId="0" borderId="29" xfId="18" applyFont="1" applyBorder="1" applyAlignment="1">
      <alignment horizontal="left" vertical="center" wrapText="1"/>
      <protection/>
    </xf>
    <xf numFmtId="0" fontId="33" fillId="0" borderId="29" xfId="18" applyFont="1" applyBorder="1" applyAlignment="1">
      <alignment horizontal="center" vertical="center" wrapText="1"/>
      <protection/>
    </xf>
    <xf numFmtId="0" fontId="33" fillId="0" borderId="30" xfId="18" applyFont="1" applyBorder="1" applyAlignment="1">
      <alignment horizontal="center" vertical="center" wrapText="1"/>
      <protection/>
    </xf>
    <xf numFmtId="0" fontId="34" fillId="0" borderId="0" xfId="18" applyFont="1">
      <alignment/>
      <protection/>
    </xf>
    <xf numFmtId="0" fontId="9" fillId="0" borderId="0" xfId="0" applyNumberFormat="1" applyFont="1" applyFill="1" applyBorder="1" applyAlignment="1">
      <alignment horizontal="center" vertical="top" wrapText="1" shrinkToFit="1"/>
    </xf>
    <xf numFmtId="0" fontId="11" fillId="0" borderId="0" xfId="0" applyNumberFormat="1" applyFont="1" applyFill="1" applyBorder="1" applyAlignment="1">
      <alignment horizontal="center" vertical="top" wrapText="1" shrinkToFit="1"/>
    </xf>
    <xf numFmtId="0" fontId="11" fillId="0" borderId="0" xfId="0" applyNumberFormat="1" applyFont="1" applyFill="1" applyBorder="1" applyAlignment="1">
      <alignment horizontal="right" vertical="top" wrapText="1" shrinkToFit="1"/>
    </xf>
    <xf numFmtId="0" fontId="10" fillId="0" borderId="0" xfId="0" applyNumberFormat="1" applyFont="1" applyFill="1" applyBorder="1" applyAlignment="1">
      <alignment horizontal="right" vertical="top" wrapText="1" shrinkToFit="1"/>
    </xf>
    <xf numFmtId="172" fontId="9" fillId="0" borderId="1" xfId="0" applyNumberFormat="1" applyFont="1" applyFill="1" applyBorder="1" applyAlignment="1">
      <alignment horizontal="center" vertical="top" wrapText="1" shrinkToFit="1"/>
    </xf>
    <xf numFmtId="0" fontId="10" fillId="0" borderId="0" xfId="0" applyNumberFormat="1" applyFont="1" applyFill="1" applyBorder="1" applyAlignment="1">
      <alignment horizontal="left" vertical="top" wrapText="1" shrinkToFit="1"/>
    </xf>
    <xf numFmtId="0" fontId="8" fillId="0" borderId="31" xfId="0" applyFont="1" applyBorder="1" applyAlignment="1">
      <alignment horizontal="center" vertical="center"/>
    </xf>
    <xf numFmtId="0" fontId="17" fillId="0" borderId="32" xfId="0" applyNumberFormat="1" applyFont="1" applyBorder="1" applyAlignment="1" quotePrefix="1">
      <alignment horizontal="center" vertical="center" wrapText="1" shrinkToFit="1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 wrapText="1" shrinkToFit="1"/>
    </xf>
    <xf numFmtId="0" fontId="17" fillId="0" borderId="19" xfId="0" applyNumberFormat="1" applyFont="1" applyBorder="1" applyAlignment="1">
      <alignment horizontal="center" vertical="center" wrapText="1" shrinkToFit="1"/>
    </xf>
    <xf numFmtId="0" fontId="17" fillId="0" borderId="2" xfId="0" applyNumberFormat="1" applyFont="1" applyBorder="1" applyAlignment="1">
      <alignment horizontal="center" vertical="center" wrapText="1" shrinkToFit="1"/>
    </xf>
    <xf numFmtId="0" fontId="17" fillId="0" borderId="31" xfId="0" applyNumberFormat="1" applyFont="1" applyBorder="1" applyAlignment="1">
      <alignment horizontal="center" vertical="center" wrapText="1" shrinkToFit="1"/>
    </xf>
    <xf numFmtId="0" fontId="17" fillId="0" borderId="1" xfId="0" applyNumberFormat="1" applyFont="1" applyBorder="1" applyAlignment="1">
      <alignment horizontal="center" vertical="center" wrapText="1" shrinkToFit="1"/>
    </xf>
    <xf numFmtId="0" fontId="17" fillId="0" borderId="4" xfId="0" applyNumberFormat="1" applyFont="1" applyBorder="1" applyAlignment="1">
      <alignment horizontal="center" vertical="center" wrapText="1" shrinkToFit="1"/>
    </xf>
    <xf numFmtId="0" fontId="17" fillId="0" borderId="0" xfId="0" applyNumberFormat="1" applyFont="1" applyBorder="1" applyAlignment="1">
      <alignment horizontal="center" vertical="center" wrapText="1" shrinkToFit="1"/>
    </xf>
    <xf numFmtId="0" fontId="17" fillId="0" borderId="3" xfId="0" applyNumberFormat="1" applyFont="1" applyBorder="1" applyAlignment="1">
      <alignment horizontal="center" vertical="center" wrapText="1" shrinkToFit="1"/>
    </xf>
    <xf numFmtId="0" fontId="17" fillId="0" borderId="34" xfId="0" applyNumberFormat="1" applyFont="1" applyBorder="1" applyAlignment="1">
      <alignment horizontal="center" vertical="center" wrapText="1" shrinkToFit="1"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17" fillId="0" borderId="33" xfId="0" applyNumberFormat="1" applyFont="1" applyFill="1" applyBorder="1" applyAlignment="1">
      <alignment horizontal="center" vertical="center" wrapText="1" shrinkToFit="1"/>
    </xf>
    <xf numFmtId="0" fontId="17" fillId="0" borderId="2" xfId="0" applyNumberFormat="1" applyFont="1" applyFill="1" applyBorder="1" applyAlignment="1">
      <alignment horizontal="center" vertical="center" wrapText="1" shrinkToFit="1"/>
    </xf>
    <xf numFmtId="0" fontId="17" fillId="0" borderId="9" xfId="0" applyNumberFormat="1" applyFont="1" applyFill="1" applyBorder="1" applyAlignment="1">
      <alignment horizontal="center" vertical="center" wrapText="1" shrinkToFit="1"/>
    </xf>
    <xf numFmtId="0" fontId="17" fillId="0" borderId="3" xfId="0" applyNumberFormat="1" applyFont="1" applyFill="1" applyBorder="1" applyAlignment="1">
      <alignment horizontal="center" vertical="center" wrapText="1" shrinkToFit="1"/>
    </xf>
    <xf numFmtId="0" fontId="17" fillId="0" borderId="31" xfId="0" applyNumberFormat="1" applyFont="1" applyFill="1" applyBorder="1" applyAlignment="1">
      <alignment horizontal="center" vertical="center" wrapText="1" shrinkToFit="1"/>
    </xf>
    <xf numFmtId="0" fontId="17" fillId="0" borderId="4" xfId="0" applyNumberFormat="1" applyFont="1" applyFill="1" applyBorder="1" applyAlignment="1">
      <alignment horizontal="center" vertical="center" wrapText="1" shrinkToFit="1"/>
    </xf>
    <xf numFmtId="0" fontId="17" fillId="0" borderId="32" xfId="0" applyNumberFormat="1" applyFont="1" applyBorder="1" applyAlignment="1">
      <alignment horizontal="center" vertical="center" wrapText="1" shrinkToFit="1"/>
    </xf>
    <xf numFmtId="0" fontId="17" fillId="0" borderId="34" xfId="0" applyNumberFormat="1" applyFont="1" applyFill="1" applyBorder="1" applyAlignment="1">
      <alignment horizontal="center" vertical="center" wrapText="1" shrinkToFit="1"/>
    </xf>
    <xf numFmtId="0" fontId="17" fillId="0" borderId="32" xfId="0" applyNumberFormat="1" applyFont="1" applyFill="1" applyBorder="1" applyAlignment="1">
      <alignment horizontal="center" vertical="center" wrapText="1" shrinkToFit="1"/>
    </xf>
    <xf numFmtId="0" fontId="17" fillId="0" borderId="20" xfId="0" applyNumberFormat="1" applyFont="1" applyFill="1" applyBorder="1" applyAlignment="1">
      <alignment horizontal="center" vertical="center" wrapText="1" shrinkToFit="1"/>
    </xf>
    <xf numFmtId="0" fontId="17" fillId="0" borderId="7" xfId="0" applyNumberFormat="1" applyFont="1" applyFill="1" applyBorder="1" applyAlignment="1">
      <alignment horizontal="center" vertical="center" wrapText="1" shrinkToFit="1"/>
    </xf>
    <xf numFmtId="0" fontId="17" fillId="0" borderId="5" xfId="0" applyNumberFormat="1" applyFont="1" applyFill="1" applyBorder="1" applyAlignment="1">
      <alignment horizontal="center" vertical="center" wrapText="1" shrinkToFit="1"/>
    </xf>
    <xf numFmtId="0" fontId="18" fillId="0" borderId="7" xfId="0" applyNumberFormat="1" applyFont="1" applyFill="1" applyBorder="1" applyAlignment="1">
      <alignment horizontal="center" vertical="top" wrapText="1" shrinkToFit="1"/>
    </xf>
    <xf numFmtId="0" fontId="18" fillId="0" borderId="5" xfId="0" applyNumberFormat="1" applyFont="1" applyFill="1" applyBorder="1" applyAlignment="1">
      <alignment horizontal="center" vertical="top" wrapText="1" shrinkToFit="1"/>
    </xf>
    <xf numFmtId="0" fontId="18" fillId="0" borderId="8" xfId="0" applyNumberFormat="1" applyFont="1" applyFill="1" applyBorder="1" applyAlignment="1">
      <alignment horizontal="center" vertical="top" wrapText="1" shrinkToFit="1"/>
    </xf>
    <xf numFmtId="2" fontId="12" fillId="0" borderId="35" xfId="0" applyNumberFormat="1" applyFont="1" applyFill="1" applyBorder="1" applyAlignment="1">
      <alignment horizontal="right" wrapText="1"/>
    </xf>
    <xf numFmtId="1" fontId="11" fillId="0" borderId="19" xfId="0" applyNumberFormat="1" applyFont="1" applyFill="1" applyBorder="1" applyAlignment="1">
      <alignment horizontal="right" wrapText="1" shrinkToFit="1"/>
    </xf>
    <xf numFmtId="2" fontId="12" fillId="0" borderId="12" xfId="0" applyNumberFormat="1" applyFont="1" applyFill="1" applyBorder="1" applyAlignment="1">
      <alignment horizontal="right" vertical="top" wrapText="1" shrinkToFit="1"/>
    </xf>
    <xf numFmtId="0" fontId="19" fillId="0" borderId="15" xfId="0" applyNumberFormat="1" applyFont="1" applyFill="1" applyBorder="1" applyAlignment="1">
      <alignment horizontal="right" vertical="top" wrapText="1" shrinkToFit="1"/>
    </xf>
    <xf numFmtId="0" fontId="19" fillId="0" borderId="0" xfId="0" applyNumberFormat="1" applyFont="1" applyFill="1" applyBorder="1" applyAlignment="1">
      <alignment horizontal="right" vertical="top" wrapText="1" shrinkToFit="1"/>
    </xf>
    <xf numFmtId="0" fontId="20" fillId="0" borderId="12" xfId="0" applyNumberFormat="1" applyFont="1" applyFill="1" applyBorder="1" applyAlignment="1">
      <alignment horizontal="right" vertical="center" wrapText="1" shrinkToFit="1"/>
    </xf>
    <xf numFmtId="10" fontId="20" fillId="0" borderId="12" xfId="0" applyNumberFormat="1" applyFont="1" applyFill="1" applyBorder="1" applyAlignment="1">
      <alignment horizontal="right" vertical="center" wrapText="1" shrinkToFit="1"/>
    </xf>
    <xf numFmtId="2" fontId="20" fillId="0" borderId="12" xfId="0" applyNumberFormat="1" applyFont="1" applyFill="1" applyBorder="1" applyAlignment="1">
      <alignment horizontal="center" vertical="center" wrapText="1" shrinkToFit="1"/>
    </xf>
    <xf numFmtId="2" fontId="20" fillId="0" borderId="17" xfId="0" applyNumberFormat="1" applyFont="1" applyFill="1" applyBorder="1" applyAlignment="1">
      <alignment horizontal="center" vertical="center" wrapText="1" shrinkToFit="1"/>
    </xf>
    <xf numFmtId="2" fontId="20" fillId="0" borderId="13" xfId="0" applyNumberFormat="1" applyFont="1" applyFill="1" applyBorder="1" applyAlignment="1">
      <alignment horizontal="center" vertical="center" wrapText="1" shrinkToFit="1"/>
    </xf>
    <xf numFmtId="0" fontId="22" fillId="0" borderId="15" xfId="0" applyNumberFormat="1" applyFont="1" applyFill="1" applyBorder="1" applyAlignment="1" applyProtection="1">
      <alignment horizontal="center" vertical="top" wrapText="1" shrinkToFit="1"/>
      <protection locked="0"/>
    </xf>
    <xf numFmtId="0" fontId="22" fillId="0" borderId="11" xfId="0" applyNumberFormat="1" applyFont="1" applyFill="1" applyBorder="1" applyAlignment="1" applyProtection="1" quotePrefix="1">
      <alignment horizontal="center" vertical="top" wrapText="1" shrinkToFit="1"/>
      <protection locked="0"/>
    </xf>
    <xf numFmtId="2" fontId="22" fillId="0" borderId="15" xfId="0" applyNumberFormat="1" applyFont="1" applyFill="1" applyBorder="1" applyAlignment="1" applyProtection="1">
      <alignment horizontal="right" vertical="top" wrapText="1" shrinkToFit="1"/>
      <protection locked="0"/>
    </xf>
    <xf numFmtId="0" fontId="22" fillId="0" borderId="11" xfId="0" applyNumberFormat="1" applyFont="1" applyFill="1" applyBorder="1" applyAlignment="1" applyProtection="1">
      <alignment horizontal="right" vertical="top" wrapText="1" shrinkToFit="1"/>
      <protection locked="0"/>
    </xf>
    <xf numFmtId="2" fontId="12" fillId="0" borderId="12" xfId="0" applyNumberFormat="1" applyFont="1" applyFill="1" applyBorder="1" applyAlignment="1">
      <alignment horizontal="right" wrapText="1"/>
    </xf>
    <xf numFmtId="1" fontId="11" fillId="0" borderId="15" xfId="0" applyNumberFormat="1" applyFont="1" applyFill="1" applyBorder="1" applyAlignment="1">
      <alignment horizontal="right" wrapText="1" shrinkToFit="1"/>
    </xf>
    <xf numFmtId="0" fontId="23" fillId="0" borderId="9" xfId="0" applyNumberFormat="1" applyFont="1" applyFill="1" applyBorder="1" applyAlignment="1" applyProtection="1">
      <alignment horizontal="right" vertical="top" wrapText="1" shrinkToFit="1"/>
      <protection locked="0"/>
    </xf>
    <xf numFmtId="0" fontId="23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3" fontId="11" fillId="0" borderId="0" xfId="0" applyNumberFormat="1" applyFont="1" applyFill="1" applyBorder="1" applyAlignment="1">
      <alignment horizontal="center" vertical="top" wrapText="1" shrinkToFit="1"/>
    </xf>
    <xf numFmtId="3" fontId="11" fillId="0" borderId="3" xfId="0" applyNumberFormat="1" applyFont="1" applyFill="1" applyBorder="1" applyAlignment="1">
      <alignment horizontal="center" vertical="top" wrapText="1" shrinkToFit="1"/>
    </xf>
    <xf numFmtId="0" fontId="18" fillId="0" borderId="1" xfId="0" applyNumberFormat="1" applyFont="1" applyFill="1" applyBorder="1" applyAlignment="1">
      <alignment horizontal="left" vertical="top" wrapText="1" shrinkToFit="1"/>
    </xf>
    <xf numFmtId="0" fontId="18" fillId="0" borderId="1" xfId="0" applyNumberFormat="1" applyFont="1" applyFill="1" applyBorder="1" applyAlignment="1" quotePrefix="1">
      <alignment horizontal="left" vertical="top" wrapText="1" shrinkToFit="1"/>
    </xf>
    <xf numFmtId="0" fontId="24" fillId="0" borderId="0" xfId="0" applyNumberFormat="1" applyFont="1" applyFill="1" applyBorder="1" applyAlignment="1" applyProtection="1" quotePrefix="1">
      <alignment horizontal="left" vertical="top" wrapText="1" shrinkToFit="1"/>
      <protection locked="0"/>
    </xf>
    <xf numFmtId="0" fontId="24" fillId="0" borderId="0" xfId="0" applyNumberFormat="1" applyFont="1" applyFill="1" applyBorder="1" applyAlignment="1">
      <alignment horizontal="center" vertical="top" wrapText="1" shrinkToFit="1"/>
    </xf>
    <xf numFmtId="0" fontId="18" fillId="0" borderId="0" xfId="0" applyNumberFormat="1" applyFont="1" applyFill="1" applyBorder="1" applyAlignment="1">
      <alignment horizontal="right" vertical="top" wrapText="1" shrinkToFit="1"/>
    </xf>
    <xf numFmtId="0" fontId="24" fillId="0" borderId="1" xfId="0" applyNumberFormat="1" applyFont="1" applyFill="1" applyBorder="1" applyAlignment="1">
      <alignment horizontal="center" vertical="top" wrapText="1" shrinkToFit="1"/>
    </xf>
    <xf numFmtId="0" fontId="18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24" fillId="0" borderId="6" xfId="0" applyNumberFormat="1" applyFont="1" applyFill="1" applyBorder="1" applyAlignment="1" applyProtection="1">
      <alignment horizontal="center" wrapText="1" shrinkToFit="1"/>
      <protection locked="0"/>
    </xf>
    <xf numFmtId="0" fontId="15" fillId="0" borderId="0" xfId="0" applyNumberFormat="1" applyFont="1" applyFill="1" applyBorder="1" applyAlignment="1" applyProtection="1">
      <alignment horizontal="center" wrapText="1" shrinkToFit="1"/>
      <protection locked="0"/>
    </xf>
    <xf numFmtId="0" fontId="15" fillId="0" borderId="0" xfId="0" applyNumberFormat="1" applyFont="1" applyFill="1" applyBorder="1" applyAlignment="1">
      <alignment horizontal="center" wrapText="1" shrinkToFit="1"/>
    </xf>
    <xf numFmtId="0" fontId="9" fillId="0" borderId="0" xfId="0" applyNumberFormat="1" applyFont="1" applyFill="1" applyBorder="1" applyAlignment="1">
      <alignment horizontal="center" wrapText="1" shrinkToFit="1"/>
    </xf>
    <xf numFmtId="0" fontId="10" fillId="0" borderId="19" xfId="0" applyNumberFormat="1" applyFont="1" applyFill="1" applyBorder="1" applyAlignment="1" applyProtection="1">
      <alignment horizontal="right" wrapText="1" shrinkToFit="1"/>
      <protection locked="0"/>
    </xf>
    <xf numFmtId="0" fontId="10" fillId="0" borderId="36" xfId="0" applyNumberFormat="1" applyFont="1" applyFill="1" applyBorder="1" applyAlignment="1" applyProtection="1">
      <alignment horizontal="right" wrapText="1" shrinkToFit="1"/>
      <protection locked="0"/>
    </xf>
    <xf numFmtId="0" fontId="10" fillId="0" borderId="37" xfId="0" applyNumberFormat="1" applyFont="1" applyFill="1" applyBorder="1" applyAlignment="1" applyProtection="1">
      <alignment horizontal="center" wrapText="1" shrinkToFit="1"/>
      <protection locked="0"/>
    </xf>
    <xf numFmtId="0" fontId="10" fillId="0" borderId="8" xfId="0" applyNumberFormat="1" applyFont="1" applyFill="1" applyBorder="1" applyAlignment="1" applyProtection="1">
      <alignment horizontal="center" wrapText="1" shrinkToFit="1"/>
      <protection locked="0"/>
    </xf>
    <xf numFmtId="0" fontId="10" fillId="0" borderId="38" xfId="0" applyNumberFormat="1" applyFont="1" applyFill="1" applyBorder="1" applyAlignment="1" applyProtection="1">
      <alignment horizontal="center" wrapText="1" shrinkToFit="1"/>
      <protection locked="0"/>
    </xf>
    <xf numFmtId="0" fontId="10" fillId="0" borderId="39" xfId="0" applyNumberFormat="1" applyFont="1" applyFill="1" applyBorder="1" applyAlignment="1" applyProtection="1">
      <alignment horizontal="center" wrapText="1" shrinkToFit="1"/>
      <protection locked="0"/>
    </xf>
    <xf numFmtId="0" fontId="10" fillId="0" borderId="40" xfId="0" applyNumberFormat="1" applyFont="1" applyFill="1" applyBorder="1" applyAlignment="1" applyProtection="1">
      <alignment horizontal="center" wrapText="1" shrinkToFit="1"/>
      <protection locked="0"/>
    </xf>
    <xf numFmtId="0" fontId="10" fillId="0" borderId="41" xfId="0" applyNumberFormat="1" applyFont="1" applyFill="1" applyBorder="1" applyAlignment="1" applyProtection="1">
      <alignment horizontal="center" wrapText="1" shrinkToFit="1"/>
      <protection locked="0"/>
    </xf>
    <xf numFmtId="0" fontId="12" fillId="0" borderId="6" xfId="0" applyNumberFormat="1" applyFont="1" applyFill="1" applyBorder="1" applyAlignment="1" applyProtection="1">
      <alignment horizontal="center" wrapText="1" shrinkToFit="1"/>
      <protection locked="0"/>
    </xf>
    <xf numFmtId="0" fontId="10" fillId="0" borderId="0" xfId="0" applyNumberFormat="1" applyFont="1" applyFill="1" applyBorder="1" applyAlignment="1" applyProtection="1">
      <alignment horizontal="right" wrapText="1" shrinkToFit="1"/>
      <protection locked="0"/>
    </xf>
    <xf numFmtId="0" fontId="10" fillId="0" borderId="3" xfId="0" applyNumberFormat="1" applyFont="1" applyFill="1" applyBorder="1" applyAlignment="1" applyProtection="1">
      <alignment horizontal="right" wrapText="1" shrinkToFit="1"/>
      <protection locked="0"/>
    </xf>
    <xf numFmtId="0" fontId="10" fillId="0" borderId="7" xfId="0" applyNumberFormat="1" applyFont="1" applyFill="1" applyBorder="1" applyAlignment="1" applyProtection="1">
      <alignment horizontal="right" wrapText="1" shrinkToFit="1"/>
      <protection locked="0"/>
    </xf>
    <xf numFmtId="0" fontId="10" fillId="0" borderId="5" xfId="0" applyNumberFormat="1" applyFont="1" applyFill="1" applyBorder="1" applyAlignment="1" applyProtection="1">
      <alignment horizontal="right" wrapText="1" shrinkToFit="1"/>
      <protection locked="0"/>
    </xf>
    <xf numFmtId="49" fontId="10" fillId="0" borderId="1" xfId="0" applyNumberFormat="1" applyFont="1" applyFill="1" applyBorder="1" applyAlignment="1" applyProtection="1">
      <alignment horizontal="center" wrapText="1" shrinkToFit="1"/>
      <protection locked="0"/>
    </xf>
    <xf numFmtId="49" fontId="10" fillId="0" borderId="42" xfId="0" applyNumberFormat="1" applyFont="1" applyFill="1" applyBorder="1" applyAlignment="1" applyProtection="1">
      <alignment horizontal="center" wrapText="1" shrinkToFit="1"/>
      <protection locked="0"/>
    </xf>
    <xf numFmtId="0" fontId="10" fillId="0" borderId="31" xfId="0" applyNumberFormat="1" applyFont="1" applyFill="1" applyBorder="1" applyAlignment="1" applyProtection="1">
      <alignment horizontal="right" wrapText="1" shrinkToFit="1"/>
      <protection locked="0"/>
    </xf>
    <xf numFmtId="0" fontId="10" fillId="0" borderId="4" xfId="0" applyNumberFormat="1" applyFont="1" applyFill="1" applyBorder="1" applyAlignment="1" applyProtection="1">
      <alignment horizontal="right" wrapText="1" shrinkToFit="1"/>
      <protection locked="0"/>
    </xf>
    <xf numFmtId="0" fontId="13" fillId="0" borderId="19" xfId="0" applyNumberFormat="1" applyFont="1" applyFill="1" applyBorder="1" applyAlignment="1">
      <alignment horizontal="center" vertical="top" wrapText="1" shrinkToFit="1"/>
    </xf>
    <xf numFmtId="0" fontId="9" fillId="0" borderId="37" xfId="0" applyNumberFormat="1" applyFont="1" applyFill="1" applyBorder="1" applyAlignment="1">
      <alignment horizontal="center" vertical="top" wrapText="1" shrinkToFit="1"/>
    </xf>
    <xf numFmtId="0" fontId="9" fillId="0" borderId="8" xfId="0" applyNumberFormat="1" applyFont="1" applyFill="1" applyBorder="1" applyAlignment="1">
      <alignment horizontal="center" vertical="top" wrapText="1" shrinkToFit="1"/>
    </xf>
    <xf numFmtId="0" fontId="9" fillId="0" borderId="38" xfId="0" applyNumberFormat="1" applyFont="1" applyFill="1" applyBorder="1" applyAlignment="1">
      <alignment horizontal="center" vertical="top" wrapText="1" shrinkToFit="1"/>
    </xf>
    <xf numFmtId="0" fontId="10" fillId="0" borderId="43" xfId="0" applyNumberFormat="1" applyFont="1" applyFill="1" applyBorder="1" applyAlignment="1" applyProtection="1">
      <alignment horizontal="right" wrapText="1" shrinkToFit="1"/>
      <protection locked="0"/>
    </xf>
    <xf numFmtId="0" fontId="22" fillId="0" borderId="0" xfId="0" applyNumberFormat="1" applyFont="1" applyFill="1" applyBorder="1" applyAlignment="1">
      <alignment horizontal="center" vertical="top" wrapText="1" shrinkToFit="1"/>
    </xf>
    <xf numFmtId="0" fontId="10" fillId="0" borderId="44" xfId="0" applyNumberFormat="1" applyFont="1" applyFill="1" applyBorder="1" applyAlignment="1">
      <alignment horizontal="center" vertical="top" wrapText="1" shrinkToFit="1"/>
    </xf>
    <xf numFmtId="0" fontId="10" fillId="0" borderId="19" xfId="0" applyNumberFormat="1" applyFont="1" applyFill="1" applyBorder="1" applyAlignment="1">
      <alignment horizontal="center" vertical="top" wrapText="1" shrinkToFit="1"/>
    </xf>
    <xf numFmtId="0" fontId="10" fillId="0" borderId="36" xfId="0" applyNumberFormat="1" applyFont="1" applyFill="1" applyBorder="1" applyAlignment="1">
      <alignment horizontal="center" vertical="top" wrapText="1" shrinkToFit="1"/>
    </xf>
    <xf numFmtId="0" fontId="25" fillId="0" borderId="1" xfId="0" applyNumberFormat="1" applyFont="1" applyFill="1" applyBorder="1" applyAlignment="1">
      <alignment horizontal="center" vertical="top" wrapText="1" shrinkToFit="1"/>
    </xf>
    <xf numFmtId="0" fontId="10" fillId="0" borderId="45" xfId="0" applyNumberFormat="1" applyFont="1" applyFill="1" applyBorder="1" applyAlignment="1">
      <alignment horizontal="center" vertical="top" wrapText="1" shrinkToFit="1"/>
    </xf>
    <xf numFmtId="0" fontId="10" fillId="0" borderId="1" xfId="0" applyNumberFormat="1" applyFont="1" applyFill="1" applyBorder="1" applyAlignment="1">
      <alignment horizontal="center" vertical="top" wrapText="1" shrinkToFit="1"/>
    </xf>
    <xf numFmtId="0" fontId="10" fillId="0" borderId="42" xfId="0" applyNumberFormat="1" applyFont="1" applyFill="1" applyBorder="1" applyAlignment="1">
      <alignment horizontal="center" vertical="top" wrapText="1" shrinkToFit="1"/>
    </xf>
    <xf numFmtId="0" fontId="9" fillId="0" borderId="44" xfId="0" applyNumberFormat="1" applyFont="1" applyFill="1" applyBorder="1" applyAlignment="1">
      <alignment horizontal="center" vertical="top" wrapText="1" shrinkToFit="1"/>
    </xf>
    <xf numFmtId="0" fontId="9" fillId="0" borderId="19" xfId="0" applyNumberFormat="1" applyFont="1" applyFill="1" applyBorder="1" applyAlignment="1">
      <alignment horizontal="center" vertical="top" wrapText="1" shrinkToFit="1"/>
    </xf>
    <xf numFmtId="0" fontId="9" fillId="0" borderId="36" xfId="0" applyNumberFormat="1" applyFont="1" applyFill="1" applyBorder="1" applyAlignment="1">
      <alignment horizontal="center" vertical="top" wrapText="1" shrinkToFit="1"/>
    </xf>
    <xf numFmtId="0" fontId="24" fillId="0" borderId="44" xfId="0" applyNumberFormat="1" applyFont="1" applyFill="1" applyBorder="1" applyAlignment="1">
      <alignment horizontal="center" vertical="top" wrapText="1" shrinkToFit="1"/>
    </xf>
    <xf numFmtId="0" fontId="24" fillId="0" borderId="19" xfId="0" applyNumberFormat="1" applyFont="1" applyFill="1" applyBorder="1" applyAlignment="1">
      <alignment horizontal="center" vertical="top" wrapText="1" shrinkToFit="1"/>
    </xf>
    <xf numFmtId="0" fontId="24" fillId="0" borderId="36" xfId="0" applyNumberFormat="1" applyFont="1" applyFill="1" applyBorder="1" applyAlignment="1">
      <alignment horizontal="center" vertical="top" wrapText="1" shrinkToFit="1"/>
    </xf>
    <xf numFmtId="0" fontId="20" fillId="0" borderId="1" xfId="0" applyNumberFormat="1" applyFont="1" applyFill="1" applyBorder="1" applyAlignment="1">
      <alignment horizontal="center" vertical="top" wrapText="1" shrinkToFit="1"/>
    </xf>
    <xf numFmtId="0" fontId="24" fillId="0" borderId="45" xfId="0" applyNumberFormat="1" applyFont="1" applyFill="1" applyBorder="1" applyAlignment="1">
      <alignment horizontal="center" vertical="top" wrapText="1" shrinkToFit="1"/>
    </xf>
    <xf numFmtId="0" fontId="24" fillId="0" borderId="42" xfId="0" applyNumberFormat="1" applyFont="1" applyFill="1" applyBorder="1" applyAlignment="1">
      <alignment horizontal="center" vertical="top" wrapText="1" shrinkToFit="1"/>
    </xf>
    <xf numFmtId="0" fontId="24" fillId="0" borderId="0" xfId="0" applyNumberFormat="1" applyFont="1" applyFill="1" applyBorder="1" applyAlignment="1">
      <alignment horizontal="right" vertical="top" wrapText="1" shrinkToFit="1"/>
    </xf>
    <xf numFmtId="0" fontId="24" fillId="0" borderId="43" xfId="0" applyNumberFormat="1" applyFont="1" applyFill="1" applyBorder="1" applyAlignment="1">
      <alignment horizontal="right" vertical="top" wrapText="1" shrinkToFit="1"/>
    </xf>
    <xf numFmtId="49" fontId="24" fillId="0" borderId="37" xfId="0" applyNumberFormat="1" applyFont="1" applyFill="1" applyBorder="1" applyAlignment="1">
      <alignment horizontal="center" vertical="top" wrapText="1" shrinkToFit="1"/>
    </xf>
    <xf numFmtId="49" fontId="24" fillId="0" borderId="8" xfId="0" applyNumberFormat="1" applyFont="1" applyFill="1" applyBorder="1" applyAlignment="1">
      <alignment horizontal="center" vertical="top" wrapText="1" shrinkToFit="1"/>
    </xf>
    <xf numFmtId="49" fontId="24" fillId="0" borderId="38" xfId="0" applyNumberFormat="1" applyFont="1" applyFill="1" applyBorder="1" applyAlignment="1">
      <alignment horizontal="center" vertical="top" wrapText="1" shrinkToFit="1"/>
    </xf>
    <xf numFmtId="0" fontId="13" fillId="0" borderId="1" xfId="0" applyNumberFormat="1" applyFont="1" applyFill="1" applyBorder="1" applyAlignment="1">
      <alignment horizontal="center" vertical="top" wrapText="1" shrinkToFit="1"/>
    </xf>
    <xf numFmtId="0" fontId="24" fillId="0" borderId="37" xfId="0" applyNumberFormat="1" applyFont="1" applyFill="1" applyBorder="1" applyAlignment="1">
      <alignment horizontal="center" vertical="top" wrapText="1" shrinkToFit="1"/>
    </xf>
    <xf numFmtId="0" fontId="24" fillId="0" borderId="8" xfId="0" applyNumberFormat="1" applyFont="1" applyFill="1" applyBorder="1" applyAlignment="1">
      <alignment horizontal="center" vertical="top" wrapText="1" shrinkToFit="1"/>
    </xf>
    <xf numFmtId="0" fontId="24" fillId="0" borderId="38" xfId="0" applyNumberFormat="1" applyFont="1" applyFill="1" applyBorder="1" applyAlignment="1">
      <alignment horizontal="center" vertical="top" wrapText="1" shrinkToFit="1"/>
    </xf>
    <xf numFmtId="0" fontId="24" fillId="0" borderId="46" xfId="0" applyNumberFormat="1" applyFont="1" applyFill="1" applyBorder="1" applyAlignment="1">
      <alignment horizontal="center" vertical="top" wrapText="1" shrinkToFit="1"/>
    </xf>
    <xf numFmtId="0" fontId="24" fillId="0" borderId="47" xfId="0" applyNumberFormat="1" applyFont="1" applyFill="1" applyBorder="1" applyAlignment="1">
      <alignment horizontal="center" vertical="top" wrapText="1" shrinkToFit="1"/>
    </xf>
    <xf numFmtId="0" fontId="24" fillId="0" borderId="48" xfId="0" applyNumberFormat="1" applyFont="1" applyFill="1" applyBorder="1" applyAlignment="1">
      <alignment horizontal="center" vertical="top" wrapText="1" shrinkToFit="1"/>
    </xf>
    <xf numFmtId="0" fontId="29" fillId="0" borderId="0" xfId="18" applyFont="1" applyAlignment="1">
      <alignment horizontal="center"/>
      <protection/>
    </xf>
    <xf numFmtId="0" fontId="30" fillId="0" borderId="0" xfId="18" applyFont="1" applyAlignment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№ 429 - ул. Зеленая, д. 36" xfId="18"/>
    <cellStyle name="Обычный_sheet1" xfId="19"/>
    <cellStyle name="Followed Hyperlink" xfId="20"/>
    <cellStyle name="Percent" xfId="21"/>
    <cellStyle name="Comma" xfId="22"/>
    <cellStyle name="Comma [0]" xfId="23"/>
    <cellStyle name="Хвост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G148"/>
  <sheetViews>
    <sheetView tabSelected="1" view="pageBreakPreview" zoomScale="60" zoomScaleNormal="75" workbookViewId="0" topLeftCell="A124">
      <selection activeCell="A129" sqref="A129:M129"/>
    </sheetView>
  </sheetViews>
  <sheetFormatPr defaultColWidth="8.00390625" defaultRowHeight="12.75"/>
  <cols>
    <col min="1" max="1" width="5.7109375" style="4" customWidth="1"/>
    <col min="2" max="2" width="19.140625" style="4" customWidth="1"/>
    <col min="3" max="3" width="32.28125" style="4" customWidth="1"/>
    <col min="4" max="4" width="8.421875" style="4" customWidth="1"/>
    <col min="5" max="5" width="10.421875" style="4" customWidth="1"/>
    <col min="6" max="6" width="1.57421875" style="4" customWidth="1"/>
    <col min="7" max="7" width="10.57421875" style="4" customWidth="1"/>
    <col min="8" max="8" width="2.28125" style="4" customWidth="1"/>
    <col min="9" max="9" width="10.57421875" style="4" customWidth="1"/>
    <col min="10" max="10" width="2.421875" style="4" customWidth="1"/>
    <col min="11" max="11" width="11.57421875" style="4" customWidth="1"/>
    <col min="12" max="12" width="10.421875" style="4" customWidth="1"/>
    <col min="13" max="14" width="10.140625" style="4" customWidth="1"/>
    <col min="15" max="15" width="1.421875" style="4" customWidth="1"/>
    <col min="16" max="16" width="11.57421875" style="4" customWidth="1"/>
    <col min="17" max="17" width="0" style="4" hidden="1" customWidth="1"/>
    <col min="18" max="16384" width="8.00390625" style="4" customWidth="1"/>
  </cols>
  <sheetData>
    <row r="1" spans="1:17" ht="16.5">
      <c r="A1" s="5"/>
      <c r="B1" s="173" t="s">
        <v>490</v>
      </c>
      <c r="C1" s="173"/>
      <c r="D1" s="7"/>
      <c r="E1" s="7"/>
      <c r="F1" s="7"/>
      <c r="G1" s="7"/>
      <c r="H1" s="7"/>
      <c r="I1" s="7"/>
      <c r="J1" s="173" t="s">
        <v>491</v>
      </c>
      <c r="K1" s="173"/>
      <c r="L1" s="173"/>
      <c r="M1" s="173"/>
      <c r="N1" s="173"/>
      <c r="O1" s="173"/>
      <c r="P1" s="173"/>
      <c r="Q1" s="173"/>
    </row>
    <row r="2" spans="1:17" ht="30.75" customHeight="1">
      <c r="A2" s="174"/>
      <c r="B2" s="174"/>
      <c r="C2" s="174"/>
      <c r="D2" s="128"/>
      <c r="E2" s="7"/>
      <c r="F2" s="7"/>
      <c r="G2" s="9"/>
      <c r="H2" s="9"/>
      <c r="I2" s="128"/>
      <c r="J2" s="175"/>
      <c r="K2" s="175"/>
      <c r="L2" s="175"/>
      <c r="M2" s="175"/>
      <c r="N2" s="175"/>
      <c r="O2" s="175"/>
      <c r="P2" s="175"/>
      <c r="Q2" s="128"/>
    </row>
    <row r="3" spans="1:17" ht="16.5" customHeight="1">
      <c r="A3" s="11"/>
      <c r="B3" s="12"/>
      <c r="C3" s="10"/>
      <c r="D3" s="13"/>
      <c r="E3" s="7"/>
      <c r="F3" s="7"/>
      <c r="G3" s="7"/>
      <c r="H3" s="7"/>
      <c r="I3" s="7"/>
      <c r="J3" s="13"/>
      <c r="K3" s="13"/>
      <c r="L3" s="12"/>
      <c r="M3" s="140"/>
      <c r="N3" s="175"/>
      <c r="O3" s="175"/>
      <c r="P3" s="175"/>
      <c r="Q3" s="128"/>
    </row>
    <row r="4" spans="1:17" ht="16.5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16.5">
      <c r="A5" s="14"/>
      <c r="B5" s="173" t="s">
        <v>492</v>
      </c>
      <c r="C5" s="173"/>
      <c r="D5" s="17"/>
      <c r="E5" s="17"/>
      <c r="F5" s="17"/>
      <c r="G5" s="17"/>
      <c r="H5" s="17"/>
      <c r="I5" s="17"/>
      <c r="J5" s="173" t="s">
        <v>492</v>
      </c>
      <c r="K5" s="173"/>
      <c r="L5" s="173"/>
      <c r="M5" s="173"/>
      <c r="N5" s="173"/>
      <c r="O5" s="173"/>
      <c r="P5" s="173"/>
      <c r="Q5" s="173"/>
    </row>
    <row r="6" spans="1:17" ht="16.5">
      <c r="A6" s="14"/>
      <c r="B6" s="6"/>
      <c r="C6" s="6"/>
      <c r="D6" s="17"/>
      <c r="E6" s="17"/>
      <c r="F6" s="17"/>
      <c r="G6" s="17"/>
      <c r="H6" s="17"/>
      <c r="I6" s="17"/>
      <c r="J6" s="7"/>
      <c r="K6" s="7"/>
      <c r="L6" s="7"/>
      <c r="M6" s="7"/>
      <c r="N6" s="7"/>
      <c r="O6" s="7"/>
      <c r="P6" s="7"/>
      <c r="Q6" s="7"/>
    </row>
    <row r="7" spans="1:17" ht="16.5">
      <c r="A7" s="14"/>
      <c r="B7" s="6"/>
      <c r="C7" s="18" t="s">
        <v>493</v>
      </c>
      <c r="D7" s="17"/>
      <c r="E7" s="17"/>
      <c r="F7" s="17"/>
      <c r="G7" s="17"/>
      <c r="H7" s="17"/>
      <c r="I7" s="17"/>
      <c r="J7" s="7"/>
      <c r="K7" s="7"/>
      <c r="L7" s="19" t="s">
        <v>493</v>
      </c>
      <c r="M7" s="7"/>
      <c r="N7" s="7"/>
      <c r="O7" s="7"/>
      <c r="P7" s="7"/>
      <c r="Q7" s="7"/>
    </row>
    <row r="8" spans="1:17" ht="16.5">
      <c r="A8" s="14"/>
      <c r="B8" s="6"/>
      <c r="C8" s="18"/>
      <c r="D8" s="17"/>
      <c r="E8" s="17"/>
      <c r="F8" s="17"/>
      <c r="G8" s="17"/>
      <c r="H8" s="17"/>
      <c r="I8" s="17"/>
      <c r="J8" s="7"/>
      <c r="K8" s="7"/>
      <c r="L8" s="7"/>
      <c r="M8" s="7"/>
      <c r="N8" s="7"/>
      <c r="O8" s="7"/>
      <c r="P8" s="7"/>
      <c r="Q8" s="7"/>
    </row>
    <row r="9" spans="1:17" ht="16.5">
      <c r="A9" s="14"/>
      <c r="B9" s="15"/>
      <c r="C9" s="16"/>
      <c r="D9" s="16"/>
      <c r="E9" s="16"/>
      <c r="F9" s="16"/>
      <c r="G9" s="176" t="s">
        <v>494</v>
      </c>
      <c r="H9" s="176"/>
      <c r="I9" s="176"/>
      <c r="J9" s="176"/>
      <c r="K9" s="176"/>
      <c r="L9" s="176"/>
      <c r="M9" s="177">
        <f>ROUND(Source!F89/1000,3)</f>
        <v>500</v>
      </c>
      <c r="N9" s="177"/>
      <c r="O9" s="177"/>
      <c r="P9" s="178" t="s">
        <v>495</v>
      </c>
      <c r="Q9" s="178"/>
    </row>
    <row r="10" spans="1:17" ht="16.5">
      <c r="A10" s="20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20.25">
      <c r="A11" s="152" t="s">
        <v>496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</row>
    <row r="12" spans="1:17" ht="18.75">
      <c r="A12" s="22"/>
      <c r="B12" s="22"/>
      <c r="C12" s="23"/>
      <c r="D12" s="24"/>
      <c r="E12" s="25"/>
      <c r="F12" s="25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32.25" customHeight="1">
      <c r="A13" s="146" t="s">
        <v>193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</row>
    <row r="14" spans="1:17" ht="15.75">
      <c r="A14" s="24"/>
      <c r="B14" s="147" t="s">
        <v>497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26"/>
    </row>
    <row r="15" spans="1:17" ht="15.75">
      <c r="A15" s="27"/>
      <c r="B15" s="28"/>
      <c r="C15" s="28"/>
      <c r="D15" s="28"/>
      <c r="E15" s="28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3"/>
    </row>
    <row r="16" spans="1:17" ht="15.75">
      <c r="A16" s="30"/>
      <c r="B16" s="148" t="s">
        <v>475</v>
      </c>
      <c r="C16" s="148"/>
      <c r="D16" s="148"/>
      <c r="E16" s="148"/>
      <c r="F16" s="148"/>
      <c r="G16" s="148"/>
      <c r="H16" s="29"/>
      <c r="I16" s="29"/>
      <c r="J16" s="29"/>
      <c r="K16" s="29"/>
      <c r="L16" s="29"/>
      <c r="M16" s="29"/>
      <c r="N16" s="29"/>
      <c r="O16" s="29"/>
      <c r="P16" s="29"/>
      <c r="Q16" s="23"/>
    </row>
    <row r="17" spans="1:17" ht="15.75">
      <c r="A17" s="31"/>
      <c r="B17" s="149" t="s">
        <v>498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32"/>
      <c r="N17" s="32"/>
      <c r="O17" s="32"/>
      <c r="P17" s="33"/>
      <c r="Q17" s="34"/>
    </row>
    <row r="18" spans="1:17" ht="12.75">
      <c r="A18" s="150" t="s">
        <v>499</v>
      </c>
      <c r="B18" s="144" t="s">
        <v>500</v>
      </c>
      <c r="C18" s="142" t="s">
        <v>501</v>
      </c>
      <c r="D18" s="180" t="s">
        <v>502</v>
      </c>
      <c r="E18" s="183" t="s">
        <v>503</v>
      </c>
      <c r="F18" s="184"/>
      <c r="G18" s="184"/>
      <c r="H18" s="184"/>
      <c r="I18" s="185"/>
      <c r="J18" s="183" t="s">
        <v>504</v>
      </c>
      <c r="K18" s="184"/>
      <c r="L18" s="184"/>
      <c r="M18" s="184"/>
      <c r="N18" s="185"/>
      <c r="O18" s="194" t="s">
        <v>505</v>
      </c>
      <c r="P18" s="195"/>
      <c r="Q18" s="35"/>
    </row>
    <row r="19" spans="1:17" ht="12.75">
      <c r="A19" s="150"/>
      <c r="B19" s="145"/>
      <c r="C19" s="143"/>
      <c r="D19" s="181"/>
      <c r="E19" s="186"/>
      <c r="F19" s="187"/>
      <c r="G19" s="187"/>
      <c r="H19" s="187"/>
      <c r="I19" s="188"/>
      <c r="J19" s="142"/>
      <c r="K19" s="189"/>
      <c r="L19" s="189"/>
      <c r="M19" s="189"/>
      <c r="N19" s="190"/>
      <c r="O19" s="196"/>
      <c r="P19" s="197"/>
      <c r="Q19" s="36"/>
    </row>
    <row r="20" spans="1:17" ht="12.75">
      <c r="A20" s="150"/>
      <c r="B20" s="145"/>
      <c r="C20" s="143"/>
      <c r="D20" s="181"/>
      <c r="E20" s="183" t="s">
        <v>506</v>
      </c>
      <c r="F20" s="185"/>
      <c r="G20" s="183" t="s">
        <v>507</v>
      </c>
      <c r="H20" s="185"/>
      <c r="I20" s="191" t="s">
        <v>508</v>
      </c>
      <c r="J20" s="183" t="s">
        <v>509</v>
      </c>
      <c r="K20" s="185"/>
      <c r="L20" s="201" t="s">
        <v>510</v>
      </c>
      <c r="M20" s="191" t="s">
        <v>511</v>
      </c>
      <c r="N20" s="191" t="s">
        <v>508</v>
      </c>
      <c r="O20" s="196"/>
      <c r="P20" s="197"/>
      <c r="Q20" s="36"/>
    </row>
    <row r="21" spans="1:17" ht="12.75">
      <c r="A21" s="151"/>
      <c r="B21" s="141"/>
      <c r="C21" s="143"/>
      <c r="D21" s="181"/>
      <c r="E21" s="186"/>
      <c r="F21" s="188"/>
      <c r="G21" s="186"/>
      <c r="H21" s="188"/>
      <c r="I21" s="200"/>
      <c r="J21" s="142"/>
      <c r="K21" s="190"/>
      <c r="L21" s="202"/>
      <c r="M21" s="193"/>
      <c r="N21" s="200"/>
      <c r="O21" s="196"/>
      <c r="P21" s="197"/>
      <c r="Q21" s="36"/>
    </row>
    <row r="22" spans="1:17" ht="12.75">
      <c r="A22" s="151"/>
      <c r="B22" s="141"/>
      <c r="C22" s="143"/>
      <c r="D22" s="181"/>
      <c r="E22" s="194" t="s">
        <v>510</v>
      </c>
      <c r="F22" s="195"/>
      <c r="G22" s="142" t="s">
        <v>512</v>
      </c>
      <c r="H22" s="190"/>
      <c r="I22" s="200"/>
      <c r="J22" s="142"/>
      <c r="K22" s="190"/>
      <c r="L22" s="202"/>
      <c r="M22" s="191" t="s">
        <v>512</v>
      </c>
      <c r="N22" s="200"/>
      <c r="O22" s="198"/>
      <c r="P22" s="199"/>
      <c r="Q22" s="37"/>
    </row>
    <row r="23" spans="1:17" ht="12.75">
      <c r="A23" s="151"/>
      <c r="B23" s="141"/>
      <c r="C23" s="143"/>
      <c r="D23" s="181"/>
      <c r="E23" s="196"/>
      <c r="F23" s="197"/>
      <c r="G23" s="142"/>
      <c r="H23" s="190"/>
      <c r="I23" s="200"/>
      <c r="J23" s="142"/>
      <c r="K23" s="190"/>
      <c r="L23" s="202"/>
      <c r="M23" s="192"/>
      <c r="N23" s="200"/>
      <c r="O23" s="204" t="s">
        <v>513</v>
      </c>
      <c r="P23" s="205"/>
      <c r="Q23" s="38"/>
    </row>
    <row r="24" spans="1:17" ht="12.75">
      <c r="A24" s="151"/>
      <c r="B24" s="141"/>
      <c r="C24" s="143"/>
      <c r="D24" s="181"/>
      <c r="E24" s="196"/>
      <c r="F24" s="197"/>
      <c r="G24" s="142"/>
      <c r="H24" s="190"/>
      <c r="I24" s="200"/>
      <c r="J24" s="142"/>
      <c r="K24" s="190"/>
      <c r="L24" s="202"/>
      <c r="M24" s="192"/>
      <c r="N24" s="200"/>
      <c r="O24" s="194" t="s">
        <v>506</v>
      </c>
      <c r="P24" s="195"/>
      <c r="Q24" s="35"/>
    </row>
    <row r="25" spans="1:17" ht="12.75">
      <c r="A25" s="151"/>
      <c r="B25" s="141"/>
      <c r="C25" s="179"/>
      <c r="D25" s="182"/>
      <c r="E25" s="198"/>
      <c r="F25" s="199"/>
      <c r="G25" s="186"/>
      <c r="H25" s="188"/>
      <c r="I25" s="144"/>
      <c r="J25" s="186"/>
      <c r="K25" s="188"/>
      <c r="L25" s="203"/>
      <c r="M25" s="193"/>
      <c r="N25" s="144"/>
      <c r="O25" s="198"/>
      <c r="P25" s="199"/>
      <c r="Q25" s="37"/>
    </row>
    <row r="26" spans="1:33" s="46" customFormat="1" ht="15" customHeight="1">
      <c r="A26" s="39">
        <v>1</v>
      </c>
      <c r="B26" s="40">
        <v>2</v>
      </c>
      <c r="C26" s="41">
        <v>3</v>
      </c>
      <c r="D26" s="40">
        <v>4</v>
      </c>
      <c r="E26" s="206">
        <v>5</v>
      </c>
      <c r="F26" s="207"/>
      <c r="G26" s="206">
        <v>6</v>
      </c>
      <c r="H26" s="207"/>
      <c r="I26" s="43">
        <v>7</v>
      </c>
      <c r="J26" s="206">
        <v>8</v>
      </c>
      <c r="K26" s="207"/>
      <c r="L26" s="40">
        <v>9</v>
      </c>
      <c r="M26" s="40">
        <v>10</v>
      </c>
      <c r="N26" s="42">
        <v>11</v>
      </c>
      <c r="O26" s="206">
        <v>12</v>
      </c>
      <c r="P26" s="208"/>
      <c r="Q26" s="208"/>
      <c r="R26" s="44"/>
      <c r="S26" s="44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</row>
    <row r="27" spans="1:17" ht="85.5">
      <c r="A27" s="47" t="str">
        <f>Source!E24</f>
        <v>1</v>
      </c>
      <c r="B27" s="48" t="str">
        <f>IF(Source!BJ24&lt;&gt;"",SUBSTITUTE(SUBSTITUTE(SUBSTITUTE(SUBSTITUTE(SUBSTITUTE(SUBSTITUTE(Source!BJ24,",",""),"сб."," "),"гл.","-"),"табл.","-"),"поз.","-"),"разд.","-"),Source!F24)&amp;" Кэмм*1,25"&amp;" Кзпм*1,25"&amp;" Козп*1,15"&amp;" Ктзс*1,15"&amp;" Ктзм*1,25"</f>
        <v>ФЕР 2009  27-04-001-4 Кэмм*1,25 Кзпм*1,25 Козп*1,15 Ктзс*1,15 Ктзм*1,25</v>
      </c>
      <c r="C27" s="49" t="str">
        <f>Source!G24</f>
        <v>Устройство подстилающих и выравнивающих слоев оснований из щебня (устранение ямочности)</v>
      </c>
      <c r="D27" s="50">
        <f>Source!I24</f>
        <v>0.5927</v>
      </c>
      <c r="E27" s="209">
        <f>Source!AB24</f>
        <v>4418.735000000001</v>
      </c>
      <c r="F27" s="209"/>
      <c r="G27" s="209">
        <f>Source!AD24</f>
        <v>4176.6</v>
      </c>
      <c r="H27" s="209"/>
      <c r="I27" s="90">
        <f>Source!AC24</f>
        <v>17.08</v>
      </c>
      <c r="J27" s="210">
        <f>Source!O24</f>
        <v>12937.79</v>
      </c>
      <c r="K27" s="210"/>
      <c r="L27" s="51">
        <f>Source!S24</f>
        <v>658.95</v>
      </c>
      <c r="M27" s="91">
        <f>Source!Q24</f>
        <v>12228.83</v>
      </c>
      <c r="N27" s="92">
        <f>Source!P24</f>
        <v>50.01</v>
      </c>
      <c r="O27" s="52"/>
      <c r="P27" s="93">
        <f>Source!U24</f>
        <v>16.48802495</v>
      </c>
      <c r="Q27" s="53"/>
    </row>
    <row r="28" spans="1:17" ht="15.75">
      <c r="A28" s="54"/>
      <c r="B28" s="55"/>
      <c r="C28" s="56" t="str">
        <f>Source!H24</f>
        <v>100 м3</v>
      </c>
      <c r="D28" s="57"/>
      <c r="E28" s="211">
        <f>Source!AF24</f>
        <v>225.05499999999998</v>
      </c>
      <c r="F28" s="211"/>
      <c r="G28" s="211">
        <f>Source!AE24</f>
        <v>351.225</v>
      </c>
      <c r="H28" s="211"/>
      <c r="I28" s="59"/>
      <c r="J28" s="60"/>
      <c r="K28" s="60"/>
      <c r="L28" s="61"/>
      <c r="M28" s="62">
        <f>Source!R24</f>
        <v>1028.37</v>
      </c>
      <c r="N28" s="62"/>
      <c r="O28" s="62"/>
      <c r="P28" s="63">
        <f>Source!V24</f>
        <v>15.262025</v>
      </c>
      <c r="Q28" s="64"/>
    </row>
    <row r="29" spans="1:17" ht="15.75">
      <c r="A29" s="65"/>
      <c r="B29" s="66"/>
      <c r="C29" s="212" t="s">
        <v>514</v>
      </c>
      <c r="D29" s="212"/>
      <c r="E29" s="67">
        <f>Source!BA24</f>
        <v>4.94</v>
      </c>
      <c r="F29" s="68" t="s">
        <v>515</v>
      </c>
      <c r="G29" s="69">
        <f>Source!AF24</f>
        <v>225.05499999999998</v>
      </c>
      <c r="H29" s="68" t="s">
        <v>515</v>
      </c>
      <c r="I29" s="70">
        <f>Source!I24</f>
        <v>0.5927</v>
      </c>
      <c r="J29" s="71" t="s">
        <v>516</v>
      </c>
      <c r="K29" s="72">
        <f>Source!S24</f>
        <v>658.95</v>
      </c>
      <c r="L29" s="73"/>
      <c r="M29" s="74"/>
      <c r="N29" s="75"/>
      <c r="O29" s="75"/>
      <c r="P29" s="76"/>
      <c r="Q29" s="77"/>
    </row>
    <row r="30" spans="1:17" ht="15.75">
      <c r="A30" s="65"/>
      <c r="B30" s="66"/>
      <c r="C30" s="213" t="s">
        <v>517</v>
      </c>
      <c r="D30" s="213"/>
      <c r="E30" s="67">
        <f>Source!BB24</f>
        <v>4.94</v>
      </c>
      <c r="F30" s="68" t="s">
        <v>515</v>
      </c>
      <c r="G30" s="69">
        <f>Source!AD24</f>
        <v>4176.6</v>
      </c>
      <c r="H30" s="68" t="s">
        <v>515</v>
      </c>
      <c r="I30" s="70">
        <f>Source!I24</f>
        <v>0.5927</v>
      </c>
      <c r="J30" s="71" t="s">
        <v>516</v>
      </c>
      <c r="K30" s="72">
        <f>Source!Q24</f>
        <v>12228.83</v>
      </c>
      <c r="L30" s="73"/>
      <c r="M30" s="74"/>
      <c r="N30" s="74"/>
      <c r="O30" s="74"/>
      <c r="P30" s="78"/>
      <c r="Q30" s="79"/>
    </row>
    <row r="31" spans="1:17" ht="15.75">
      <c r="A31" s="65"/>
      <c r="B31" s="66"/>
      <c r="C31" s="213" t="s">
        <v>518</v>
      </c>
      <c r="D31" s="213"/>
      <c r="E31" s="67">
        <f>Source!BS24</f>
        <v>4.94</v>
      </c>
      <c r="F31" s="68" t="s">
        <v>515</v>
      </c>
      <c r="G31" s="69">
        <f>Source!AE24</f>
        <v>351.225</v>
      </c>
      <c r="H31" s="68" t="s">
        <v>515</v>
      </c>
      <c r="I31" s="70">
        <f>Source!I24</f>
        <v>0.5927</v>
      </c>
      <c r="J31" s="71" t="s">
        <v>516</v>
      </c>
      <c r="K31" s="72">
        <f>Source!R24</f>
        <v>1028.37</v>
      </c>
      <c r="L31" s="73"/>
      <c r="M31" s="74"/>
      <c r="N31" s="74"/>
      <c r="O31" s="74"/>
      <c r="P31" s="78"/>
      <c r="Q31" s="79"/>
    </row>
    <row r="32" spans="1:17" ht="15.75">
      <c r="A32" s="65"/>
      <c r="B32" s="66"/>
      <c r="C32" s="213" t="s">
        <v>519</v>
      </c>
      <c r="D32" s="213"/>
      <c r="E32" s="67">
        <f>Source!BC24</f>
        <v>4.94</v>
      </c>
      <c r="F32" s="68" t="s">
        <v>515</v>
      </c>
      <c r="G32" s="69">
        <f>Source!AC24</f>
        <v>17.08</v>
      </c>
      <c r="H32" s="68" t="s">
        <v>515</v>
      </c>
      <c r="I32" s="70">
        <f>Source!I24</f>
        <v>0.5927</v>
      </c>
      <c r="J32" s="71" t="s">
        <v>516</v>
      </c>
      <c r="K32" s="72">
        <f>Source!P24</f>
        <v>50.01</v>
      </c>
      <c r="L32" s="73"/>
      <c r="M32" s="74"/>
      <c r="N32" s="74"/>
      <c r="O32" s="74"/>
      <c r="P32" s="80"/>
      <c r="Q32" s="79"/>
    </row>
    <row r="33" spans="1:17" ht="17.25">
      <c r="A33" s="81"/>
      <c r="B33" s="82"/>
      <c r="C33" s="214" t="s">
        <v>104</v>
      </c>
      <c r="D33" s="214"/>
      <c r="E33" s="214"/>
      <c r="F33" s="83"/>
      <c r="G33" s="215">
        <f>Source!AT24/100</f>
        <v>1.42</v>
      </c>
      <c r="H33" s="215"/>
      <c r="I33" s="216" t="s">
        <v>520</v>
      </c>
      <c r="J33" s="216"/>
      <c r="K33" s="58">
        <f>M33+M34</f>
        <v>1687.32</v>
      </c>
      <c r="L33" s="84"/>
      <c r="M33" s="85">
        <f>Source!S24</f>
        <v>658.95</v>
      </c>
      <c r="N33" s="217">
        <f>Source!X24</f>
        <v>2395.99</v>
      </c>
      <c r="O33" s="216"/>
      <c r="P33" s="218"/>
      <c r="Q33" s="86"/>
    </row>
    <row r="34" spans="1:17" ht="17.25">
      <c r="A34" s="87"/>
      <c r="B34" s="88"/>
      <c r="C34" s="214" t="s">
        <v>106</v>
      </c>
      <c r="D34" s="214"/>
      <c r="E34" s="214"/>
      <c r="F34" s="89"/>
      <c r="G34" s="215">
        <f>Source!AU24/100</f>
        <v>0.81</v>
      </c>
      <c r="H34" s="215"/>
      <c r="I34" s="216" t="s">
        <v>520</v>
      </c>
      <c r="J34" s="216"/>
      <c r="K34" s="58">
        <f>M33+M34</f>
        <v>1687.32</v>
      </c>
      <c r="L34" s="84"/>
      <c r="M34" s="85">
        <f>Source!R24</f>
        <v>1028.37</v>
      </c>
      <c r="N34" s="217">
        <f>Source!Y24</f>
        <v>1366.73</v>
      </c>
      <c r="O34" s="216"/>
      <c r="P34" s="218"/>
      <c r="Q34" s="86"/>
    </row>
    <row r="35" spans="1:17" ht="31.5">
      <c r="A35" s="94" t="str">
        <f>Source!E25</f>
        <v>1,1</v>
      </c>
      <c r="B35" s="95" t="str">
        <f>IF(Source!BJ25&lt;&gt;"",SUBSTITUTE(SUBSTITUTE(SUBSTITUTE(SUBSTITUTE(SUBSTITUTE(SUBSTITUTE(Source!BJ25,",",""),"сб."," "),"гл.","-"),"табл.","-"),"поз.","-"),"разд.","-"),Source!F25)</f>
        <v>ФССЦ (2010) ч.4 раздел08 -9080</v>
      </c>
      <c r="C35" s="96" t="str">
        <f>Source!G25</f>
        <v>Щебень фр.40-70 марка 800</v>
      </c>
      <c r="D35" s="219">
        <f>Source!I25</f>
        <v>74.6802</v>
      </c>
      <c r="E35" s="221"/>
      <c r="F35" s="221"/>
      <c r="G35" s="97"/>
      <c r="H35" s="97"/>
      <c r="I35" s="98">
        <f>Source!AC25</f>
        <v>103</v>
      </c>
      <c r="J35" s="221"/>
      <c r="K35" s="221"/>
      <c r="L35" s="98"/>
      <c r="M35" s="98"/>
      <c r="N35" s="98">
        <f>Source!P25</f>
        <v>37998.78</v>
      </c>
      <c r="O35" s="99"/>
      <c r="P35" s="100"/>
      <c r="Q35" s="101"/>
    </row>
    <row r="36" spans="1:17" ht="15.75">
      <c r="A36" s="102"/>
      <c r="B36" s="103"/>
      <c r="C36" s="104" t="str">
        <f>IF(Source!DW25="",Source!H25,Source!DW25)</f>
        <v>м3</v>
      </c>
      <c r="D36" s="220"/>
      <c r="E36" s="220"/>
      <c r="F36" s="220"/>
      <c r="G36" s="105"/>
      <c r="H36" s="105"/>
      <c r="I36" s="105"/>
      <c r="J36" s="222"/>
      <c r="K36" s="222"/>
      <c r="L36" s="106"/>
      <c r="M36" s="106"/>
      <c r="N36" s="106"/>
      <c r="O36" s="107"/>
      <c r="P36" s="108"/>
      <c r="Q36" s="109"/>
    </row>
    <row r="37" spans="1:17" ht="78.75">
      <c r="A37" s="47" t="str">
        <f>Source!E26</f>
        <v>2</v>
      </c>
      <c r="B37" s="48" t="str">
        <f>IF(Source!BJ26&lt;&gt;"",SUBSTITUTE(SUBSTITUTE(SUBSTITUTE(SUBSTITUTE(SUBSTITUTE(SUBSTITUTE(Source!BJ26,",",""),"сб."," "),"гл.","-"),"табл.","-"),"поз.","-"),"разд.","-"),Source!F26)</f>
        <v>ФЕРр 2009  68-10-1</v>
      </c>
      <c r="C37" s="49" t="str">
        <f>Source!G26</f>
        <v>Устройство выравнивающего слоя из асфальтобетонной смеси: с применением укладчиков асфальтобетона</v>
      </c>
      <c r="D37" s="50">
        <f>Source!I26</f>
        <v>0.1702</v>
      </c>
      <c r="E37" s="223">
        <f>Source!AB26</f>
        <v>50446.55</v>
      </c>
      <c r="F37" s="223"/>
      <c r="G37" s="223">
        <f>Source!AD26</f>
        <v>3689.91</v>
      </c>
      <c r="H37" s="223"/>
      <c r="I37" s="90">
        <f>Source!AC26</f>
        <v>46463.94</v>
      </c>
      <c r="J37" s="224">
        <f>Source!O26</f>
        <v>42414.85</v>
      </c>
      <c r="K37" s="224"/>
      <c r="L37" s="51">
        <f>Source!S26</f>
        <v>246.1</v>
      </c>
      <c r="M37" s="91">
        <f>Source!Q26</f>
        <v>3102.43</v>
      </c>
      <c r="N37" s="92">
        <f>Source!P26</f>
        <v>39066.32</v>
      </c>
      <c r="O37" s="52"/>
      <c r="P37" s="93">
        <f>Source!U26</f>
        <v>5.104297999999999</v>
      </c>
      <c r="Q37" s="53"/>
    </row>
    <row r="38" spans="1:17" ht="15.75">
      <c r="A38" s="54"/>
      <c r="B38" s="55"/>
      <c r="C38" s="56" t="str">
        <f>Source!H26</f>
        <v>100 т</v>
      </c>
      <c r="D38" s="57"/>
      <c r="E38" s="211">
        <f>Source!AF26</f>
        <v>292.7</v>
      </c>
      <c r="F38" s="211"/>
      <c r="G38" s="211">
        <f>Source!AE26</f>
        <v>412.32</v>
      </c>
      <c r="H38" s="211"/>
      <c r="I38" s="59"/>
      <c r="J38" s="60"/>
      <c r="K38" s="60"/>
      <c r="L38" s="61"/>
      <c r="M38" s="62">
        <f>Source!R26</f>
        <v>346.67</v>
      </c>
      <c r="N38" s="62"/>
      <c r="O38" s="62"/>
      <c r="P38" s="63">
        <f>Source!V26</f>
        <v>5.088979999999999</v>
      </c>
      <c r="Q38" s="64"/>
    </row>
    <row r="39" spans="1:17" ht="15.75">
      <c r="A39" s="65"/>
      <c r="B39" s="66"/>
      <c r="C39" s="212" t="s">
        <v>514</v>
      </c>
      <c r="D39" s="212"/>
      <c r="E39" s="67">
        <f>Source!BA26</f>
        <v>4.94</v>
      </c>
      <c r="F39" s="68" t="s">
        <v>515</v>
      </c>
      <c r="G39" s="69">
        <f>Source!AF26</f>
        <v>292.7</v>
      </c>
      <c r="H39" s="68" t="s">
        <v>515</v>
      </c>
      <c r="I39" s="70">
        <f>Source!I26</f>
        <v>0.1702</v>
      </c>
      <c r="J39" s="71" t="s">
        <v>516</v>
      </c>
      <c r="K39" s="72">
        <f>Source!S26</f>
        <v>246.1</v>
      </c>
      <c r="L39" s="73"/>
      <c r="M39" s="74"/>
      <c r="N39" s="75"/>
      <c r="O39" s="75"/>
      <c r="P39" s="76"/>
      <c r="Q39" s="77"/>
    </row>
    <row r="40" spans="1:17" ht="15.75">
      <c r="A40" s="65"/>
      <c r="B40" s="66"/>
      <c r="C40" s="213" t="s">
        <v>517</v>
      </c>
      <c r="D40" s="213"/>
      <c r="E40" s="67">
        <f>Source!BB26</f>
        <v>4.94</v>
      </c>
      <c r="F40" s="68" t="s">
        <v>515</v>
      </c>
      <c r="G40" s="69">
        <f>Source!AD26</f>
        <v>3689.91</v>
      </c>
      <c r="H40" s="68" t="s">
        <v>515</v>
      </c>
      <c r="I40" s="70">
        <f>Source!I26</f>
        <v>0.1702</v>
      </c>
      <c r="J40" s="71" t="s">
        <v>516</v>
      </c>
      <c r="K40" s="72">
        <f>Source!Q26</f>
        <v>3102.43</v>
      </c>
      <c r="L40" s="73"/>
      <c r="M40" s="74"/>
      <c r="N40" s="74"/>
      <c r="O40" s="74"/>
      <c r="P40" s="78"/>
      <c r="Q40" s="79"/>
    </row>
    <row r="41" spans="1:17" ht="15.75">
      <c r="A41" s="65"/>
      <c r="B41" s="66"/>
      <c r="C41" s="213" t="s">
        <v>518</v>
      </c>
      <c r="D41" s="213"/>
      <c r="E41" s="67">
        <f>Source!BS26</f>
        <v>4.94</v>
      </c>
      <c r="F41" s="68" t="s">
        <v>515</v>
      </c>
      <c r="G41" s="69">
        <f>Source!AE26</f>
        <v>412.32</v>
      </c>
      <c r="H41" s="68" t="s">
        <v>515</v>
      </c>
      <c r="I41" s="70">
        <f>Source!I26</f>
        <v>0.1702</v>
      </c>
      <c r="J41" s="71" t="s">
        <v>516</v>
      </c>
      <c r="K41" s="72">
        <f>Source!R26</f>
        <v>346.67</v>
      </c>
      <c r="L41" s="73"/>
      <c r="M41" s="74"/>
      <c r="N41" s="74"/>
      <c r="O41" s="74"/>
      <c r="P41" s="78"/>
      <c r="Q41" s="79"/>
    </row>
    <row r="42" spans="1:17" ht="15.75">
      <c r="A42" s="65"/>
      <c r="B42" s="66"/>
      <c r="C42" s="213" t="s">
        <v>519</v>
      </c>
      <c r="D42" s="213"/>
      <c r="E42" s="67">
        <f>Source!BC26</f>
        <v>4.94</v>
      </c>
      <c r="F42" s="68" t="s">
        <v>515</v>
      </c>
      <c r="G42" s="69">
        <f>Source!AC26</f>
        <v>46463.94</v>
      </c>
      <c r="H42" s="68" t="s">
        <v>515</v>
      </c>
      <c r="I42" s="70">
        <f>Source!I26</f>
        <v>0.1702</v>
      </c>
      <c r="J42" s="71" t="s">
        <v>516</v>
      </c>
      <c r="K42" s="72">
        <f>Source!P26</f>
        <v>39066.32</v>
      </c>
      <c r="L42" s="73"/>
      <c r="M42" s="74"/>
      <c r="N42" s="74"/>
      <c r="O42" s="74"/>
      <c r="P42" s="80"/>
      <c r="Q42" s="79"/>
    </row>
    <row r="43" spans="1:17" ht="17.25">
      <c r="A43" s="81"/>
      <c r="B43" s="82"/>
      <c r="C43" s="214" t="s">
        <v>104</v>
      </c>
      <c r="D43" s="214"/>
      <c r="E43" s="214"/>
      <c r="F43" s="83"/>
      <c r="G43" s="215">
        <f>Source!AT26/100</f>
        <v>1.04</v>
      </c>
      <c r="H43" s="215"/>
      <c r="I43" s="216" t="s">
        <v>520</v>
      </c>
      <c r="J43" s="216"/>
      <c r="K43" s="58">
        <f>M43+M44</f>
        <v>592.77</v>
      </c>
      <c r="L43" s="84"/>
      <c r="M43" s="85">
        <f>Source!S26</f>
        <v>246.1</v>
      </c>
      <c r="N43" s="217">
        <f>Source!X26</f>
        <v>616.48</v>
      </c>
      <c r="O43" s="216"/>
      <c r="P43" s="218"/>
      <c r="Q43" s="86"/>
    </row>
    <row r="44" spans="1:17" ht="17.25">
      <c r="A44" s="87"/>
      <c r="B44" s="88"/>
      <c r="C44" s="214" t="s">
        <v>106</v>
      </c>
      <c r="D44" s="214"/>
      <c r="E44" s="214"/>
      <c r="F44" s="89"/>
      <c r="G44" s="215">
        <f>Source!AU26/100</f>
        <v>0.6</v>
      </c>
      <c r="H44" s="215"/>
      <c r="I44" s="216" t="s">
        <v>520</v>
      </c>
      <c r="J44" s="216"/>
      <c r="K44" s="58">
        <f>M43+M44</f>
        <v>592.77</v>
      </c>
      <c r="L44" s="84"/>
      <c r="M44" s="85">
        <f>Source!R26</f>
        <v>346.67</v>
      </c>
      <c r="N44" s="217">
        <f>Source!Y26</f>
        <v>355.66</v>
      </c>
      <c r="O44" s="216"/>
      <c r="P44" s="218"/>
      <c r="Q44" s="86"/>
    </row>
    <row r="45" spans="1:17" ht="94.5">
      <c r="A45" s="94" t="str">
        <f>Source!E27</f>
        <v>2,1</v>
      </c>
      <c r="B45" s="95" t="str">
        <f>IF(Source!BJ27&lt;&gt;"",SUBSTITUTE(SUBSTITUTE(SUBSTITUTE(SUBSTITUTE(SUBSTITUTE(SUBSTITUTE(Source!BJ27,",",""),"сб."," "),"гл.","-"),"табл.","-"),"поз.","-"),"разд.","-"),Source!F27)</f>
        <v>ФССЦ (2010) ч.4 раздел10 -0021</v>
      </c>
      <c r="C45" s="96" t="str">
        <f>Source!G27</f>
        <v>Асфальтобетонные смеси дорожные, аэродромные и асфальтобетон (горячие и теплые для пористого асфальтобетона щебеночные и гравийные), марка I</v>
      </c>
      <c r="D45" s="219">
        <f>Source!I27</f>
        <v>-17.190199999999997</v>
      </c>
      <c r="E45" s="221"/>
      <c r="F45" s="221"/>
      <c r="G45" s="97"/>
      <c r="H45" s="97"/>
      <c r="I45" s="98">
        <f>Source!AC27</f>
        <v>459.91</v>
      </c>
      <c r="J45" s="221"/>
      <c r="K45" s="221"/>
      <c r="L45" s="98"/>
      <c r="M45" s="98"/>
      <c r="N45" s="98">
        <f>Source!P27</f>
        <v>-39055.37</v>
      </c>
      <c r="O45" s="99"/>
      <c r="P45" s="100"/>
      <c r="Q45" s="101"/>
    </row>
    <row r="46" spans="1:17" ht="15.75">
      <c r="A46" s="102"/>
      <c r="B46" s="103"/>
      <c r="C46" s="104" t="str">
        <f>IF(Source!DW27="",Source!H27,Source!DW27)</f>
        <v>т</v>
      </c>
      <c r="D46" s="220"/>
      <c r="E46" s="220"/>
      <c r="F46" s="220"/>
      <c r="G46" s="105"/>
      <c r="H46" s="105"/>
      <c r="I46" s="105"/>
      <c r="J46" s="222"/>
      <c r="K46" s="222"/>
      <c r="L46" s="106"/>
      <c r="M46" s="106"/>
      <c r="N46" s="106"/>
      <c r="O46" s="107"/>
      <c r="P46" s="108"/>
      <c r="Q46" s="109"/>
    </row>
    <row r="47" spans="1:17" ht="31.5">
      <c r="A47" s="94" t="str">
        <f>Source!E28</f>
        <v>2,2</v>
      </c>
      <c r="B47" s="95" t="str">
        <f>IF(Source!BJ28&lt;&gt;"",SUBSTITUTE(SUBSTITUTE(SUBSTITUTE(SUBSTITUTE(SUBSTITUTE(SUBSTITUTE(Source!BJ28,",",""),"сб."," "),"гл.","-"),"табл.","-"),"поз.","-"),"разд.","-"),Source!F28)</f>
        <v>ФССЦ (2010) ч.4 раздел10 -0008</v>
      </c>
      <c r="C47" s="96" t="str">
        <f>Source!G28</f>
        <v>Асфальтобетонные смеси дорожные марка II, тип Г</v>
      </c>
      <c r="D47" s="219">
        <f>Source!I28</f>
        <v>17.190199999999997</v>
      </c>
      <c r="E47" s="221"/>
      <c r="F47" s="221"/>
      <c r="G47" s="97"/>
      <c r="H47" s="97"/>
      <c r="I47" s="98">
        <f>Source!AC28</f>
        <v>571.6</v>
      </c>
      <c r="J47" s="221"/>
      <c r="K47" s="221"/>
      <c r="L47" s="98"/>
      <c r="M47" s="98"/>
      <c r="N47" s="98">
        <f>Source!P28</f>
        <v>48540.04</v>
      </c>
      <c r="O47" s="99"/>
      <c r="P47" s="100"/>
      <c r="Q47" s="101"/>
    </row>
    <row r="48" spans="1:17" ht="15.75">
      <c r="A48" s="102"/>
      <c r="B48" s="103"/>
      <c r="C48" s="104" t="str">
        <f>IF(Source!DW28="",Source!H28,Source!DW28)</f>
        <v>т</v>
      </c>
      <c r="D48" s="220"/>
      <c r="E48" s="220"/>
      <c r="F48" s="220"/>
      <c r="G48" s="105"/>
      <c r="H48" s="105"/>
      <c r="I48" s="105"/>
      <c r="J48" s="222"/>
      <c r="K48" s="222"/>
      <c r="L48" s="106"/>
      <c r="M48" s="106"/>
      <c r="N48" s="106"/>
      <c r="O48" s="107"/>
      <c r="P48" s="108"/>
      <c r="Q48" s="109"/>
    </row>
    <row r="49" spans="1:17" ht="85.5">
      <c r="A49" s="47" t="str">
        <f>Source!E29</f>
        <v>3</v>
      </c>
      <c r="B49" s="48" t="str">
        <f>IF(Source!BJ29&lt;&gt;"",SUBSTITUTE(SUBSTITUTE(SUBSTITUTE(SUBSTITUTE(SUBSTITUTE(SUBSTITUTE(Source!BJ29,",",""),"сб."," "),"гл.","-"),"табл.","-"),"поз.","-"),"разд.","-"),Source!F29)&amp;" Кэмм*1,25"&amp;" Кзпм*1,25"&amp;" Козп*1,15"&amp;" Ктзс*1,15"&amp;" Ктзм*1,25"</f>
        <v>ФЕР 2009  27-06-026-1 Кэмм*1,25 Кзпм*1,25 Козп*1,15 Ктзс*1,15 Ктзм*1,25</v>
      </c>
      <c r="C49" s="49" t="str">
        <f>Source!G29</f>
        <v>Розлив вяжущих материалов</v>
      </c>
      <c r="D49" s="50">
        <f>Source!I29</f>
        <v>0.2797</v>
      </c>
      <c r="E49" s="223">
        <f>Source!AB29</f>
        <v>1581.73</v>
      </c>
      <c r="F49" s="223"/>
      <c r="G49" s="223">
        <f>Source!AD29</f>
        <v>49.5</v>
      </c>
      <c r="H49" s="223"/>
      <c r="I49" s="90">
        <f>Source!AC29</f>
        <v>1532.23</v>
      </c>
      <c r="J49" s="224">
        <f>Source!O29</f>
        <v>2185.51</v>
      </c>
      <c r="K49" s="224"/>
      <c r="L49" s="51">
        <f>Source!S29</f>
        <v>0</v>
      </c>
      <c r="M49" s="91">
        <f>Source!Q29</f>
        <v>68.4</v>
      </c>
      <c r="N49" s="92">
        <f>Source!P29</f>
        <v>2117.11</v>
      </c>
      <c r="O49" s="52"/>
      <c r="P49" s="93">
        <f>Source!U29</f>
        <v>0</v>
      </c>
      <c r="Q49" s="53"/>
    </row>
    <row r="50" spans="1:17" ht="15.75">
      <c r="A50" s="54"/>
      <c r="B50" s="55"/>
      <c r="C50" s="56" t="str">
        <f>Source!H29</f>
        <v>т</v>
      </c>
      <c r="D50" s="57"/>
      <c r="E50" s="211">
        <f>Source!AF29</f>
        <v>0</v>
      </c>
      <c r="F50" s="211"/>
      <c r="G50" s="211">
        <f>Source!AE29</f>
        <v>9.575</v>
      </c>
      <c r="H50" s="211"/>
      <c r="I50" s="59"/>
      <c r="J50" s="60"/>
      <c r="K50" s="60"/>
      <c r="L50" s="61"/>
      <c r="M50" s="62">
        <f>Source!R29</f>
        <v>13.23</v>
      </c>
      <c r="N50" s="62"/>
      <c r="O50" s="62"/>
      <c r="P50" s="63">
        <f>Source!V29</f>
        <v>0.23075250000000003</v>
      </c>
      <c r="Q50" s="64"/>
    </row>
    <row r="51" spans="1:17" ht="15.75">
      <c r="A51" s="65"/>
      <c r="B51" s="66"/>
      <c r="C51" s="212" t="s">
        <v>514</v>
      </c>
      <c r="D51" s="212"/>
      <c r="E51" s="67">
        <f>Source!BA29</f>
        <v>4.94</v>
      </c>
      <c r="F51" s="68" t="s">
        <v>515</v>
      </c>
      <c r="G51" s="69">
        <f>Source!AF29</f>
        <v>0</v>
      </c>
      <c r="H51" s="68" t="s">
        <v>515</v>
      </c>
      <c r="I51" s="70">
        <f>Source!I29</f>
        <v>0.2797</v>
      </c>
      <c r="J51" s="71" t="s">
        <v>516</v>
      </c>
      <c r="K51" s="72">
        <f>Source!S29</f>
        <v>0</v>
      </c>
      <c r="L51" s="73"/>
      <c r="M51" s="74"/>
      <c r="N51" s="75"/>
      <c r="O51" s="75"/>
      <c r="P51" s="76"/>
      <c r="Q51" s="77"/>
    </row>
    <row r="52" spans="1:17" ht="15.75">
      <c r="A52" s="65"/>
      <c r="B52" s="66"/>
      <c r="C52" s="213" t="s">
        <v>517</v>
      </c>
      <c r="D52" s="213"/>
      <c r="E52" s="67">
        <f>Source!BB29</f>
        <v>4.94</v>
      </c>
      <c r="F52" s="68" t="s">
        <v>515</v>
      </c>
      <c r="G52" s="69">
        <f>Source!AD29</f>
        <v>49.5</v>
      </c>
      <c r="H52" s="68" t="s">
        <v>515</v>
      </c>
      <c r="I52" s="70">
        <f>Source!I29</f>
        <v>0.2797</v>
      </c>
      <c r="J52" s="71" t="s">
        <v>516</v>
      </c>
      <c r="K52" s="72">
        <f>Source!Q29</f>
        <v>68.4</v>
      </c>
      <c r="L52" s="73"/>
      <c r="M52" s="74"/>
      <c r="N52" s="74"/>
      <c r="O52" s="74"/>
      <c r="P52" s="78"/>
      <c r="Q52" s="79"/>
    </row>
    <row r="53" spans="1:17" ht="15.75">
      <c r="A53" s="65"/>
      <c r="B53" s="66"/>
      <c r="C53" s="213" t="s">
        <v>518</v>
      </c>
      <c r="D53" s="213"/>
      <c r="E53" s="67">
        <f>Source!BS29</f>
        <v>4.94</v>
      </c>
      <c r="F53" s="68" t="s">
        <v>515</v>
      </c>
      <c r="G53" s="69">
        <f>Source!AE29</f>
        <v>9.575</v>
      </c>
      <c r="H53" s="68" t="s">
        <v>515</v>
      </c>
      <c r="I53" s="70">
        <f>Source!I29</f>
        <v>0.2797</v>
      </c>
      <c r="J53" s="71" t="s">
        <v>516</v>
      </c>
      <c r="K53" s="72">
        <f>Source!R29</f>
        <v>13.23</v>
      </c>
      <c r="L53" s="73"/>
      <c r="M53" s="74"/>
      <c r="N53" s="74"/>
      <c r="O53" s="74"/>
      <c r="P53" s="78"/>
      <c r="Q53" s="79"/>
    </row>
    <row r="54" spans="1:17" ht="15.75">
      <c r="A54" s="65"/>
      <c r="B54" s="66"/>
      <c r="C54" s="213" t="s">
        <v>519</v>
      </c>
      <c r="D54" s="213"/>
      <c r="E54" s="67">
        <f>Source!BC29</f>
        <v>4.94</v>
      </c>
      <c r="F54" s="68" t="s">
        <v>515</v>
      </c>
      <c r="G54" s="69">
        <f>Source!AC29</f>
        <v>1532.23</v>
      </c>
      <c r="H54" s="68" t="s">
        <v>515</v>
      </c>
      <c r="I54" s="70">
        <f>Source!I29</f>
        <v>0.2797</v>
      </c>
      <c r="J54" s="71" t="s">
        <v>516</v>
      </c>
      <c r="K54" s="72">
        <f>Source!P29</f>
        <v>2117.11</v>
      </c>
      <c r="L54" s="73"/>
      <c r="M54" s="74"/>
      <c r="N54" s="74"/>
      <c r="O54" s="74"/>
      <c r="P54" s="80"/>
      <c r="Q54" s="79"/>
    </row>
    <row r="55" spans="1:17" ht="17.25">
      <c r="A55" s="81"/>
      <c r="B55" s="82"/>
      <c r="C55" s="214" t="s">
        <v>104</v>
      </c>
      <c r="D55" s="214"/>
      <c r="E55" s="214"/>
      <c r="F55" s="83"/>
      <c r="G55" s="215">
        <f>Source!AT29/100</f>
        <v>1.42</v>
      </c>
      <c r="H55" s="215"/>
      <c r="I55" s="216" t="s">
        <v>520</v>
      </c>
      <c r="J55" s="216"/>
      <c r="K55" s="58">
        <f>M55+M56</f>
        <v>13.23</v>
      </c>
      <c r="L55" s="84"/>
      <c r="M55" s="85">
        <f>Source!S29</f>
        <v>0</v>
      </c>
      <c r="N55" s="217">
        <f>Source!X29</f>
        <v>18.79</v>
      </c>
      <c r="O55" s="216"/>
      <c r="P55" s="218"/>
      <c r="Q55" s="86"/>
    </row>
    <row r="56" spans="1:17" ht="17.25">
      <c r="A56" s="87"/>
      <c r="B56" s="88"/>
      <c r="C56" s="214" t="s">
        <v>106</v>
      </c>
      <c r="D56" s="214"/>
      <c r="E56" s="214"/>
      <c r="F56" s="89"/>
      <c r="G56" s="215">
        <f>Source!AU29/100</f>
        <v>0.81</v>
      </c>
      <c r="H56" s="215"/>
      <c r="I56" s="216" t="s">
        <v>520</v>
      </c>
      <c r="J56" s="216"/>
      <c r="K56" s="58">
        <f>M55+M56</f>
        <v>13.23</v>
      </c>
      <c r="L56" s="84"/>
      <c r="M56" s="85">
        <f>Source!R29</f>
        <v>13.23</v>
      </c>
      <c r="N56" s="217">
        <f>Source!Y29</f>
        <v>10.72</v>
      </c>
      <c r="O56" s="216"/>
      <c r="P56" s="218"/>
      <c r="Q56" s="86"/>
    </row>
    <row r="57" spans="1:17" ht="31.5">
      <c r="A57" s="94" t="str">
        <f>Source!E30</f>
        <v>3,1</v>
      </c>
      <c r="B57" s="95" t="str">
        <f>IF(Source!BJ30&lt;&gt;"",SUBSTITUTE(SUBSTITUTE(SUBSTITUTE(SUBSTITUTE(SUBSTITUTE(SUBSTITUTE(Source!BJ30,",",""),"сб."," "),"гл.","-"),"табл.","-"),"поз.","-"),"разд.","-"),Source!F30)</f>
        <v>ФССЦ (2010) ч.1 раздел01 -1561</v>
      </c>
      <c r="C57" s="96" t="str">
        <f>Source!G30</f>
        <v>Битумы нефтяные дорожные жидкие, класс МГ, СГ</v>
      </c>
      <c r="D57" s="219">
        <f>Source!I30</f>
        <v>-0.288091</v>
      </c>
      <c r="E57" s="221"/>
      <c r="F57" s="221"/>
      <c r="G57" s="97"/>
      <c r="H57" s="97"/>
      <c r="I57" s="98">
        <f>Source!AC30</f>
        <v>1487.6</v>
      </c>
      <c r="J57" s="221"/>
      <c r="K57" s="221"/>
      <c r="L57" s="98"/>
      <c r="M57" s="98"/>
      <c r="N57" s="98">
        <f>Source!P30</f>
        <v>-2117.11</v>
      </c>
      <c r="O57" s="99"/>
      <c r="P57" s="100"/>
      <c r="Q57" s="101"/>
    </row>
    <row r="58" spans="1:17" ht="15.75">
      <c r="A58" s="102"/>
      <c r="B58" s="103"/>
      <c r="C58" s="104" t="str">
        <f>IF(Source!DW30="",Source!H30,Source!DW30)</f>
        <v>т</v>
      </c>
      <c r="D58" s="220"/>
      <c r="E58" s="220"/>
      <c r="F58" s="220"/>
      <c r="G58" s="105"/>
      <c r="H58" s="105"/>
      <c r="I58" s="105"/>
      <c r="J58" s="222"/>
      <c r="K58" s="222"/>
      <c r="L58" s="106"/>
      <c r="M58" s="106"/>
      <c r="N58" s="106"/>
      <c r="O58" s="107"/>
      <c r="P58" s="108"/>
      <c r="Q58" s="109"/>
    </row>
    <row r="59" spans="1:17" ht="31.5">
      <c r="A59" s="94" t="str">
        <f>Source!E31</f>
        <v>3,2</v>
      </c>
      <c r="B59" s="95" t="str">
        <f>IF(Source!BJ31&lt;&gt;"",SUBSTITUTE(SUBSTITUTE(SUBSTITUTE(SUBSTITUTE(SUBSTITUTE(SUBSTITUTE(Source!BJ31,",",""),"сб."," "),"гл.","-"),"табл.","-"),"поз.","-"),"разд.","-"),Source!F31)</f>
        <v>ФССЦ (2010) ч.1 раздел01 -1559</v>
      </c>
      <c r="C59" s="96" t="str">
        <f>Source!G31</f>
        <v>Битумы нефтяные дорожные марки БНД-60/90, БНД-90/130</v>
      </c>
      <c r="D59" s="219">
        <f>Source!I31</f>
        <v>0.288091</v>
      </c>
      <c r="E59" s="221"/>
      <c r="F59" s="221"/>
      <c r="G59" s="97"/>
      <c r="H59" s="97"/>
      <c r="I59" s="98">
        <f>Source!AC31</f>
        <v>2172.48</v>
      </c>
      <c r="J59" s="221"/>
      <c r="K59" s="221"/>
      <c r="L59" s="98"/>
      <c r="M59" s="98"/>
      <c r="N59" s="98">
        <f>Source!P31</f>
        <v>3091.81</v>
      </c>
      <c r="O59" s="99"/>
      <c r="P59" s="100"/>
      <c r="Q59" s="101"/>
    </row>
    <row r="60" spans="1:17" ht="15.75">
      <c r="A60" s="102"/>
      <c r="B60" s="103"/>
      <c r="C60" s="104" t="str">
        <f>IF(Source!DW31="",Source!H31,Source!DW31)</f>
        <v>т</v>
      </c>
      <c r="D60" s="220"/>
      <c r="E60" s="220"/>
      <c r="F60" s="220"/>
      <c r="G60" s="105"/>
      <c r="H60" s="105"/>
      <c r="I60" s="105"/>
      <c r="J60" s="222"/>
      <c r="K60" s="222"/>
      <c r="L60" s="106"/>
      <c r="M60" s="106"/>
      <c r="N60" s="106"/>
      <c r="O60" s="107"/>
      <c r="P60" s="108"/>
      <c r="Q60" s="109"/>
    </row>
    <row r="61" spans="1:17" ht="94.5">
      <c r="A61" s="47" t="str">
        <f>Source!E32</f>
        <v>4</v>
      </c>
      <c r="B61" s="48" t="str">
        <f>IF(Source!BJ32&lt;&gt;"",SUBSTITUTE(SUBSTITUTE(SUBSTITUTE(SUBSTITUTE(SUBSTITUTE(SUBSTITUTE(Source!BJ32,",",""),"сб."," "),"гл.","-"),"табл.","-"),"поз.","-"),"разд.","-"),Source!F32)&amp;" Кэмм*1,25"&amp;" Кзпм*1,25"&amp;" Козп*1,15"&amp;" Ктзс*1,15"&amp;" Ктзм*1,25"</f>
        <v>ФЕР 2009  27-06-020-5 Кэмм*1,25 Кзпм*1,25 Козп*1,15 Ктзс*1,15 Ктзм*1,25</v>
      </c>
      <c r="C61" s="49" t="str">
        <f>Source!G32</f>
        <v>Устройство покрытия толщиной 4 см из горячих асфальтобетонных смесей плотных песчаных типа ГД, плотность каменных материалов 2,5-2,9-3 т/м3</v>
      </c>
      <c r="D61" s="50">
        <f>Source!I32</f>
        <v>0.3593</v>
      </c>
      <c r="E61" s="223">
        <f>Source!AB32</f>
        <v>56985.2025</v>
      </c>
      <c r="F61" s="223"/>
      <c r="G61" s="223">
        <f>Source!AD32</f>
        <v>2982.7749999999996</v>
      </c>
      <c r="H61" s="223"/>
      <c r="I61" s="90">
        <f>Source!AC32</f>
        <v>53578.71</v>
      </c>
      <c r="J61" s="224">
        <f>Source!O32</f>
        <v>101145.42</v>
      </c>
      <c r="K61" s="224"/>
      <c r="L61" s="51">
        <f>Source!S32</f>
        <v>752.07</v>
      </c>
      <c r="M61" s="91">
        <f>Source!Q32</f>
        <v>5294.25</v>
      </c>
      <c r="N61" s="92">
        <f>Source!P32</f>
        <v>95099.1</v>
      </c>
      <c r="O61" s="52"/>
      <c r="P61" s="93">
        <f>Source!U32</f>
        <v>15.825368499999998</v>
      </c>
      <c r="Q61" s="53"/>
    </row>
    <row r="62" spans="1:17" ht="15.75">
      <c r="A62" s="54"/>
      <c r="B62" s="55"/>
      <c r="C62" s="56" t="str">
        <f>Source!H32</f>
        <v>1000 м2</v>
      </c>
      <c r="D62" s="57"/>
      <c r="E62" s="211">
        <f>Source!AF32</f>
        <v>423.7175</v>
      </c>
      <c r="F62" s="211"/>
      <c r="G62" s="211">
        <f>Source!AE32</f>
        <v>328.175</v>
      </c>
      <c r="H62" s="211"/>
      <c r="I62" s="59"/>
      <c r="J62" s="60"/>
      <c r="K62" s="60"/>
      <c r="L62" s="61"/>
      <c r="M62" s="62">
        <f>Source!R32</f>
        <v>582.49</v>
      </c>
      <c r="N62" s="62"/>
      <c r="O62" s="62"/>
      <c r="P62" s="63">
        <f>Source!V32</f>
        <v>8.569305</v>
      </c>
      <c r="Q62" s="64"/>
    </row>
    <row r="63" spans="1:17" ht="15.75">
      <c r="A63" s="65"/>
      <c r="B63" s="66"/>
      <c r="C63" s="212" t="s">
        <v>514</v>
      </c>
      <c r="D63" s="212"/>
      <c r="E63" s="67">
        <f>Source!BA32</f>
        <v>4.94</v>
      </c>
      <c r="F63" s="68" t="s">
        <v>515</v>
      </c>
      <c r="G63" s="69">
        <f>Source!AF32</f>
        <v>423.7175</v>
      </c>
      <c r="H63" s="68" t="s">
        <v>515</v>
      </c>
      <c r="I63" s="70">
        <f>Source!I32</f>
        <v>0.3593</v>
      </c>
      <c r="J63" s="71" t="s">
        <v>516</v>
      </c>
      <c r="K63" s="72">
        <f>Source!S32</f>
        <v>752.07</v>
      </c>
      <c r="L63" s="73"/>
      <c r="M63" s="74"/>
      <c r="N63" s="75"/>
      <c r="O63" s="75"/>
      <c r="P63" s="76"/>
      <c r="Q63" s="77"/>
    </row>
    <row r="64" spans="1:17" ht="15.75">
      <c r="A64" s="65"/>
      <c r="B64" s="66"/>
      <c r="C64" s="213" t="s">
        <v>517</v>
      </c>
      <c r="D64" s="213"/>
      <c r="E64" s="67">
        <f>Source!BB32</f>
        <v>4.94</v>
      </c>
      <c r="F64" s="68" t="s">
        <v>515</v>
      </c>
      <c r="G64" s="69">
        <f>Source!AD32</f>
        <v>2982.7749999999996</v>
      </c>
      <c r="H64" s="68" t="s">
        <v>515</v>
      </c>
      <c r="I64" s="70">
        <f>Source!I32</f>
        <v>0.3593</v>
      </c>
      <c r="J64" s="71" t="s">
        <v>516</v>
      </c>
      <c r="K64" s="72">
        <f>Source!Q32</f>
        <v>5294.25</v>
      </c>
      <c r="L64" s="73"/>
      <c r="M64" s="74"/>
      <c r="N64" s="74"/>
      <c r="O64" s="74"/>
      <c r="P64" s="78"/>
      <c r="Q64" s="79"/>
    </row>
    <row r="65" spans="1:17" ht="15.75">
      <c r="A65" s="65"/>
      <c r="B65" s="66"/>
      <c r="C65" s="213" t="s">
        <v>518</v>
      </c>
      <c r="D65" s="213"/>
      <c r="E65" s="67">
        <f>Source!BS32</f>
        <v>4.94</v>
      </c>
      <c r="F65" s="68" t="s">
        <v>515</v>
      </c>
      <c r="G65" s="69">
        <f>Source!AE32</f>
        <v>328.175</v>
      </c>
      <c r="H65" s="68" t="s">
        <v>515</v>
      </c>
      <c r="I65" s="70">
        <f>Source!I32</f>
        <v>0.3593</v>
      </c>
      <c r="J65" s="71" t="s">
        <v>516</v>
      </c>
      <c r="K65" s="72">
        <f>Source!R32</f>
        <v>582.49</v>
      </c>
      <c r="L65" s="73"/>
      <c r="M65" s="74"/>
      <c r="N65" s="74"/>
      <c r="O65" s="74"/>
      <c r="P65" s="78"/>
      <c r="Q65" s="79"/>
    </row>
    <row r="66" spans="1:17" ht="15.75">
      <c r="A66" s="65"/>
      <c r="B66" s="66"/>
      <c r="C66" s="213" t="s">
        <v>519</v>
      </c>
      <c r="D66" s="213"/>
      <c r="E66" s="67">
        <f>Source!BC32</f>
        <v>4.94</v>
      </c>
      <c r="F66" s="68" t="s">
        <v>515</v>
      </c>
      <c r="G66" s="69">
        <f>Source!AC32</f>
        <v>53578.71</v>
      </c>
      <c r="H66" s="68" t="s">
        <v>515</v>
      </c>
      <c r="I66" s="70">
        <f>Source!I32</f>
        <v>0.3593</v>
      </c>
      <c r="J66" s="71" t="s">
        <v>516</v>
      </c>
      <c r="K66" s="72">
        <f>Source!P32</f>
        <v>95099.1</v>
      </c>
      <c r="L66" s="73"/>
      <c r="M66" s="74"/>
      <c r="N66" s="74"/>
      <c r="O66" s="74"/>
      <c r="P66" s="80"/>
      <c r="Q66" s="79"/>
    </row>
    <row r="67" spans="1:17" ht="17.25">
      <c r="A67" s="81"/>
      <c r="B67" s="82"/>
      <c r="C67" s="214" t="s">
        <v>104</v>
      </c>
      <c r="D67" s="214"/>
      <c r="E67" s="214"/>
      <c r="F67" s="83"/>
      <c r="G67" s="215">
        <f>Source!AT32/100</f>
        <v>1.42</v>
      </c>
      <c r="H67" s="215"/>
      <c r="I67" s="216" t="s">
        <v>520</v>
      </c>
      <c r="J67" s="216"/>
      <c r="K67" s="58">
        <f>M67+M68</f>
        <v>1334.56</v>
      </c>
      <c r="L67" s="84"/>
      <c r="M67" s="85">
        <f>Source!S32</f>
        <v>752.07</v>
      </c>
      <c r="N67" s="217">
        <f>Source!X32</f>
        <v>1895.08</v>
      </c>
      <c r="O67" s="216"/>
      <c r="P67" s="218"/>
      <c r="Q67" s="86"/>
    </row>
    <row r="68" spans="1:17" ht="17.25">
      <c r="A68" s="87"/>
      <c r="B68" s="88"/>
      <c r="C68" s="214" t="s">
        <v>106</v>
      </c>
      <c r="D68" s="214"/>
      <c r="E68" s="214"/>
      <c r="F68" s="89"/>
      <c r="G68" s="215">
        <f>Source!AU32/100</f>
        <v>0.81</v>
      </c>
      <c r="H68" s="215"/>
      <c r="I68" s="216" t="s">
        <v>520</v>
      </c>
      <c r="J68" s="216"/>
      <c r="K68" s="58">
        <f>M67+M68</f>
        <v>1334.56</v>
      </c>
      <c r="L68" s="84"/>
      <c r="M68" s="85">
        <f>Source!R32</f>
        <v>582.49</v>
      </c>
      <c r="N68" s="217">
        <f>Source!Y32</f>
        <v>1080.99</v>
      </c>
      <c r="O68" s="216"/>
      <c r="P68" s="218"/>
      <c r="Q68" s="86"/>
    </row>
    <row r="69" spans="1:17" ht="85.5">
      <c r="A69" s="47" t="str">
        <f>Source!E33</f>
        <v>5</v>
      </c>
      <c r="B69" s="48" t="str">
        <f>IF(Source!BJ33&lt;&gt;"",SUBSTITUTE(SUBSTITUTE(SUBSTITUTE(SUBSTITUTE(SUBSTITUTE(SUBSTITUTE(Source!BJ33,",",""),"сб."," "),"гл.","-"),"табл.","-"),"поз.","-"),"разд.","-"),Source!F33)&amp;" Кэмм*1,25"&amp;" Кзпм*1,25"&amp;" Козп*1,15"&amp;" Ктзс*1,15"&amp;" Ктзм*1,25"</f>
        <v>ФЕР 2009  27-06-021-5 Кэмм*1,25 Кзпм*1,25 Козп*1,15 Ктзс*1,15 Ктзм*1,25</v>
      </c>
      <c r="C69" s="49" t="str">
        <f>Source!G33</f>
        <v>На каждые 0,5 см изменения толщины покрытия добавлять или исключать к расценке 27-06-020-05 (до 5 см)</v>
      </c>
      <c r="D69" s="50">
        <f>Source!I33</f>
        <v>0.7186</v>
      </c>
      <c r="E69" s="223">
        <f>Source!AB33</f>
        <v>6694.7405</v>
      </c>
      <c r="F69" s="223"/>
      <c r="G69" s="223">
        <f>Source!AD33</f>
        <v>3.65</v>
      </c>
      <c r="H69" s="223"/>
      <c r="I69" s="90">
        <f>Source!AC33</f>
        <v>6690.09</v>
      </c>
      <c r="J69" s="224">
        <f>Source!O33</f>
        <v>23765.55</v>
      </c>
      <c r="K69" s="224"/>
      <c r="L69" s="51">
        <f>Source!S33</f>
        <v>3.55</v>
      </c>
      <c r="M69" s="91">
        <f>Source!Q33</f>
        <v>12.96</v>
      </c>
      <c r="N69" s="92">
        <f>Source!P33</f>
        <v>23749.04</v>
      </c>
      <c r="O69" s="52"/>
      <c r="P69" s="93">
        <f>Source!U33</f>
        <v>0.0743751</v>
      </c>
      <c r="Q69" s="53"/>
    </row>
    <row r="70" spans="1:17" ht="15.75">
      <c r="A70" s="54"/>
      <c r="B70" s="55"/>
      <c r="C70" s="56" t="str">
        <f>Source!H33</f>
        <v>1000 м2</v>
      </c>
      <c r="D70" s="57"/>
      <c r="E70" s="211">
        <f>Source!AF33</f>
        <v>1.0005</v>
      </c>
      <c r="F70" s="211"/>
      <c r="G70" s="211">
        <f>Source!AE33</f>
        <v>0</v>
      </c>
      <c r="H70" s="211"/>
      <c r="I70" s="59"/>
      <c r="J70" s="60"/>
      <c r="K70" s="60"/>
      <c r="L70" s="61"/>
      <c r="M70" s="62">
        <f>Source!R33</f>
        <v>0</v>
      </c>
      <c r="N70" s="62"/>
      <c r="O70" s="62"/>
      <c r="P70" s="63">
        <f>Source!V33</f>
        <v>0</v>
      </c>
      <c r="Q70" s="64"/>
    </row>
    <row r="71" spans="1:17" ht="15.75">
      <c r="A71" s="65"/>
      <c r="B71" s="66"/>
      <c r="C71" s="212" t="s">
        <v>514</v>
      </c>
      <c r="D71" s="212"/>
      <c r="E71" s="67">
        <f>Source!BA33</f>
        <v>4.94</v>
      </c>
      <c r="F71" s="68" t="s">
        <v>515</v>
      </c>
      <c r="G71" s="69">
        <f>Source!AF33</f>
        <v>1.0005</v>
      </c>
      <c r="H71" s="68" t="s">
        <v>515</v>
      </c>
      <c r="I71" s="70">
        <f>Source!I33</f>
        <v>0.7186</v>
      </c>
      <c r="J71" s="71" t="s">
        <v>516</v>
      </c>
      <c r="K71" s="72">
        <f>Source!S33</f>
        <v>3.55</v>
      </c>
      <c r="L71" s="73"/>
      <c r="M71" s="74"/>
      <c r="N71" s="75"/>
      <c r="O71" s="75"/>
      <c r="P71" s="76"/>
      <c r="Q71" s="77"/>
    </row>
    <row r="72" spans="1:17" ht="15.75">
      <c r="A72" s="65"/>
      <c r="B72" s="66"/>
      <c r="C72" s="213" t="s">
        <v>517</v>
      </c>
      <c r="D72" s="213"/>
      <c r="E72" s="67">
        <f>Source!BB33</f>
        <v>4.94</v>
      </c>
      <c r="F72" s="68" t="s">
        <v>515</v>
      </c>
      <c r="G72" s="69">
        <f>Source!AD33</f>
        <v>3.65</v>
      </c>
      <c r="H72" s="68" t="s">
        <v>515</v>
      </c>
      <c r="I72" s="70">
        <f>Source!I33</f>
        <v>0.7186</v>
      </c>
      <c r="J72" s="71" t="s">
        <v>516</v>
      </c>
      <c r="K72" s="72">
        <f>Source!Q33</f>
        <v>12.96</v>
      </c>
      <c r="L72" s="73"/>
      <c r="M72" s="74"/>
      <c r="N72" s="74"/>
      <c r="O72" s="74"/>
      <c r="P72" s="78"/>
      <c r="Q72" s="79"/>
    </row>
    <row r="73" spans="1:17" ht="15.75">
      <c r="A73" s="65"/>
      <c r="B73" s="66"/>
      <c r="C73" s="213" t="s">
        <v>518</v>
      </c>
      <c r="D73" s="213"/>
      <c r="E73" s="67">
        <f>Source!BS33</f>
        <v>4.94</v>
      </c>
      <c r="F73" s="68" t="s">
        <v>515</v>
      </c>
      <c r="G73" s="69">
        <f>Source!AE33</f>
        <v>0</v>
      </c>
      <c r="H73" s="68" t="s">
        <v>515</v>
      </c>
      <c r="I73" s="70">
        <f>Source!I33</f>
        <v>0.7186</v>
      </c>
      <c r="J73" s="71" t="s">
        <v>516</v>
      </c>
      <c r="K73" s="72">
        <f>Source!R33</f>
        <v>0</v>
      </c>
      <c r="L73" s="73"/>
      <c r="M73" s="74"/>
      <c r="N73" s="74"/>
      <c r="O73" s="74"/>
      <c r="P73" s="78"/>
      <c r="Q73" s="79"/>
    </row>
    <row r="74" spans="1:17" ht="15.75">
      <c r="A74" s="65"/>
      <c r="B74" s="66"/>
      <c r="C74" s="213" t="s">
        <v>519</v>
      </c>
      <c r="D74" s="213"/>
      <c r="E74" s="67">
        <f>Source!BC33</f>
        <v>4.94</v>
      </c>
      <c r="F74" s="68" t="s">
        <v>515</v>
      </c>
      <c r="G74" s="69">
        <f>Source!AC33</f>
        <v>6690.09</v>
      </c>
      <c r="H74" s="68" t="s">
        <v>515</v>
      </c>
      <c r="I74" s="70">
        <f>Source!I33</f>
        <v>0.7186</v>
      </c>
      <c r="J74" s="71" t="s">
        <v>516</v>
      </c>
      <c r="K74" s="72">
        <f>Source!P33</f>
        <v>23749.04</v>
      </c>
      <c r="L74" s="73"/>
      <c r="M74" s="74"/>
      <c r="N74" s="74"/>
      <c r="O74" s="74"/>
      <c r="P74" s="80"/>
      <c r="Q74" s="79"/>
    </row>
    <row r="75" spans="1:17" ht="17.25">
      <c r="A75" s="81"/>
      <c r="B75" s="82"/>
      <c r="C75" s="214" t="s">
        <v>104</v>
      </c>
      <c r="D75" s="214"/>
      <c r="E75" s="214"/>
      <c r="F75" s="83"/>
      <c r="G75" s="215">
        <f>Source!AT33/100</f>
        <v>1.42</v>
      </c>
      <c r="H75" s="215"/>
      <c r="I75" s="216" t="s">
        <v>520</v>
      </c>
      <c r="J75" s="216"/>
      <c r="K75" s="58">
        <f>M75+M76</f>
        <v>3.55</v>
      </c>
      <c r="L75" s="84"/>
      <c r="M75" s="85">
        <f>Source!S33</f>
        <v>3.55</v>
      </c>
      <c r="N75" s="217">
        <f>Source!X33</f>
        <v>5.04</v>
      </c>
      <c r="O75" s="216"/>
      <c r="P75" s="218"/>
      <c r="Q75" s="86"/>
    </row>
    <row r="76" spans="1:17" ht="17.25">
      <c r="A76" s="87"/>
      <c r="B76" s="88"/>
      <c r="C76" s="214" t="s">
        <v>106</v>
      </c>
      <c r="D76" s="214"/>
      <c r="E76" s="214"/>
      <c r="F76" s="89"/>
      <c r="G76" s="215">
        <f>Source!AU33/100</f>
        <v>0.81</v>
      </c>
      <c r="H76" s="215"/>
      <c r="I76" s="216" t="s">
        <v>520</v>
      </c>
      <c r="J76" s="216"/>
      <c r="K76" s="58">
        <f>M75+M76</f>
        <v>3.55</v>
      </c>
      <c r="L76" s="84"/>
      <c r="M76" s="85">
        <f>Source!R33</f>
        <v>0</v>
      </c>
      <c r="N76" s="217">
        <f>Source!Y33</f>
        <v>2.88</v>
      </c>
      <c r="O76" s="216"/>
      <c r="P76" s="218"/>
      <c r="Q76" s="86"/>
    </row>
    <row r="77" spans="1:17" ht="78.75">
      <c r="A77" s="47" t="str">
        <f>Source!E34</f>
        <v>6</v>
      </c>
      <c r="B77" s="48" t="str">
        <f>IF(Source!BJ34&lt;&gt;"",SUBSTITUTE(SUBSTITUTE(SUBSTITUTE(SUBSTITUTE(SUBSTITUTE(SUBSTITUTE(Source!BJ34,",",""),"сб."," "),"гл.","-"),"табл.","-"),"поз.","-"),"разд.","-"),Source!F34)</f>
        <v>ФЕРр 2009  68-10-2</v>
      </c>
      <c r="C77" s="49" t="str">
        <f>Source!G34</f>
        <v>Устройство выравнивающего слоя из асфальтобетонной смеси: без применения укладчиков асфальтобетона</v>
      </c>
      <c r="D77" s="50">
        <f>Source!I34</f>
        <v>0.1611</v>
      </c>
      <c r="E77" s="223">
        <f>Source!AB34</f>
        <v>50517.35</v>
      </c>
      <c r="F77" s="223"/>
      <c r="G77" s="223">
        <f>Source!AD34</f>
        <v>3228.78</v>
      </c>
      <c r="H77" s="223"/>
      <c r="I77" s="90">
        <f>Source!AC34</f>
        <v>46463.94</v>
      </c>
      <c r="J77" s="224">
        <f>Source!O34</f>
        <v>40203.42</v>
      </c>
      <c r="K77" s="224"/>
      <c r="L77" s="51">
        <f>Source!S34</f>
        <v>656.27</v>
      </c>
      <c r="M77" s="91">
        <f>Source!Q34</f>
        <v>2569.57</v>
      </c>
      <c r="N77" s="92">
        <f>Source!P34</f>
        <v>36977.58</v>
      </c>
      <c r="O77" s="52"/>
      <c r="P77" s="93">
        <f>Source!U34</f>
        <v>13.809491999999999</v>
      </c>
      <c r="Q77" s="53"/>
    </row>
    <row r="78" spans="1:17" ht="15.75">
      <c r="A78" s="54"/>
      <c r="B78" s="55"/>
      <c r="C78" s="56" t="str">
        <f>Source!H34</f>
        <v>100 т</v>
      </c>
      <c r="D78" s="57"/>
      <c r="E78" s="211">
        <f>Source!AF34</f>
        <v>824.63</v>
      </c>
      <c r="F78" s="211"/>
      <c r="G78" s="211">
        <f>Source!AE34</f>
        <v>414.6</v>
      </c>
      <c r="H78" s="211"/>
      <c r="I78" s="59"/>
      <c r="J78" s="60"/>
      <c r="K78" s="60"/>
      <c r="L78" s="61"/>
      <c r="M78" s="62">
        <f>Source!R34</f>
        <v>329.95</v>
      </c>
      <c r="N78" s="62"/>
      <c r="O78" s="62"/>
      <c r="P78" s="63">
        <f>Source!V34</f>
        <v>5.029541999999999</v>
      </c>
      <c r="Q78" s="64"/>
    </row>
    <row r="79" spans="1:17" ht="15.75">
      <c r="A79" s="65"/>
      <c r="B79" s="66"/>
      <c r="C79" s="212" t="s">
        <v>514</v>
      </c>
      <c r="D79" s="212"/>
      <c r="E79" s="67">
        <f>Source!BA34</f>
        <v>4.94</v>
      </c>
      <c r="F79" s="68" t="s">
        <v>515</v>
      </c>
      <c r="G79" s="69">
        <f>Source!AF34</f>
        <v>824.63</v>
      </c>
      <c r="H79" s="68" t="s">
        <v>515</v>
      </c>
      <c r="I79" s="70">
        <f>Source!I34</f>
        <v>0.1611</v>
      </c>
      <c r="J79" s="71" t="s">
        <v>516</v>
      </c>
      <c r="K79" s="72">
        <f>Source!S34</f>
        <v>656.27</v>
      </c>
      <c r="L79" s="73"/>
      <c r="M79" s="74"/>
      <c r="N79" s="75"/>
      <c r="O79" s="75"/>
      <c r="P79" s="76"/>
      <c r="Q79" s="77"/>
    </row>
    <row r="80" spans="1:17" ht="15.75">
      <c r="A80" s="65"/>
      <c r="B80" s="66"/>
      <c r="C80" s="213" t="s">
        <v>517</v>
      </c>
      <c r="D80" s="213"/>
      <c r="E80" s="67">
        <f>Source!BB34</f>
        <v>4.94</v>
      </c>
      <c r="F80" s="68" t="s">
        <v>515</v>
      </c>
      <c r="G80" s="69">
        <f>Source!AD34</f>
        <v>3228.78</v>
      </c>
      <c r="H80" s="68" t="s">
        <v>515</v>
      </c>
      <c r="I80" s="70">
        <f>Source!I34</f>
        <v>0.1611</v>
      </c>
      <c r="J80" s="71" t="s">
        <v>516</v>
      </c>
      <c r="K80" s="72">
        <f>Source!Q34</f>
        <v>2569.57</v>
      </c>
      <c r="L80" s="73"/>
      <c r="M80" s="74"/>
      <c r="N80" s="74"/>
      <c r="O80" s="74"/>
      <c r="P80" s="78"/>
      <c r="Q80" s="79"/>
    </row>
    <row r="81" spans="1:17" ht="15.75">
      <c r="A81" s="65"/>
      <c r="B81" s="66"/>
      <c r="C81" s="213" t="s">
        <v>518</v>
      </c>
      <c r="D81" s="213"/>
      <c r="E81" s="67">
        <f>Source!BS34</f>
        <v>4.94</v>
      </c>
      <c r="F81" s="68" t="s">
        <v>515</v>
      </c>
      <c r="G81" s="69">
        <f>Source!AE34</f>
        <v>414.6</v>
      </c>
      <c r="H81" s="68" t="s">
        <v>515</v>
      </c>
      <c r="I81" s="70">
        <f>Source!I34</f>
        <v>0.1611</v>
      </c>
      <c r="J81" s="71" t="s">
        <v>516</v>
      </c>
      <c r="K81" s="72">
        <f>Source!R34</f>
        <v>329.95</v>
      </c>
      <c r="L81" s="73"/>
      <c r="M81" s="74"/>
      <c r="N81" s="74"/>
      <c r="O81" s="74"/>
      <c r="P81" s="78"/>
      <c r="Q81" s="79"/>
    </row>
    <row r="82" spans="1:17" ht="15.75">
      <c r="A82" s="65"/>
      <c r="B82" s="66"/>
      <c r="C82" s="213" t="s">
        <v>519</v>
      </c>
      <c r="D82" s="213"/>
      <c r="E82" s="67">
        <f>Source!BC34</f>
        <v>4.94</v>
      </c>
      <c r="F82" s="68" t="s">
        <v>515</v>
      </c>
      <c r="G82" s="69">
        <f>Source!AC34</f>
        <v>46463.94</v>
      </c>
      <c r="H82" s="68" t="s">
        <v>515</v>
      </c>
      <c r="I82" s="70">
        <f>Source!I34</f>
        <v>0.1611</v>
      </c>
      <c r="J82" s="71" t="s">
        <v>516</v>
      </c>
      <c r="K82" s="72">
        <f>Source!P34</f>
        <v>36977.58</v>
      </c>
      <c r="L82" s="73"/>
      <c r="M82" s="74"/>
      <c r="N82" s="74"/>
      <c r="O82" s="74"/>
      <c r="P82" s="80"/>
      <c r="Q82" s="79"/>
    </row>
    <row r="83" spans="1:17" ht="17.25">
      <c r="A83" s="81"/>
      <c r="B83" s="82"/>
      <c r="C83" s="214" t="s">
        <v>104</v>
      </c>
      <c r="D83" s="214"/>
      <c r="E83" s="214"/>
      <c r="F83" s="83"/>
      <c r="G83" s="215">
        <f>Source!AT34/100</f>
        <v>1.04</v>
      </c>
      <c r="H83" s="215"/>
      <c r="I83" s="216" t="s">
        <v>520</v>
      </c>
      <c r="J83" s="216"/>
      <c r="K83" s="58">
        <f>M83+M84</f>
        <v>986.22</v>
      </c>
      <c r="L83" s="84"/>
      <c r="M83" s="85">
        <f>Source!S34</f>
        <v>656.27</v>
      </c>
      <c r="N83" s="217">
        <f>Source!X34</f>
        <v>1025.67</v>
      </c>
      <c r="O83" s="216"/>
      <c r="P83" s="218"/>
      <c r="Q83" s="86"/>
    </row>
    <row r="84" spans="1:17" ht="17.25">
      <c r="A84" s="87"/>
      <c r="B84" s="88"/>
      <c r="C84" s="214" t="s">
        <v>106</v>
      </c>
      <c r="D84" s="214"/>
      <c r="E84" s="214"/>
      <c r="F84" s="89"/>
      <c r="G84" s="215">
        <f>Source!AU34/100</f>
        <v>0.6</v>
      </c>
      <c r="H84" s="215"/>
      <c r="I84" s="216" t="s">
        <v>520</v>
      </c>
      <c r="J84" s="216"/>
      <c r="K84" s="58">
        <f>M83+M84</f>
        <v>986.22</v>
      </c>
      <c r="L84" s="84"/>
      <c r="M84" s="85">
        <f>Source!R34</f>
        <v>329.95</v>
      </c>
      <c r="N84" s="217">
        <f>Source!Y34</f>
        <v>591.73</v>
      </c>
      <c r="O84" s="216"/>
      <c r="P84" s="218"/>
      <c r="Q84" s="86"/>
    </row>
    <row r="85" spans="1:17" ht="94.5">
      <c r="A85" s="94" t="str">
        <f>Source!E35</f>
        <v>6,1</v>
      </c>
      <c r="B85" s="95" t="str">
        <f>IF(Source!BJ35&lt;&gt;"",SUBSTITUTE(SUBSTITUTE(SUBSTITUTE(SUBSTITUTE(SUBSTITUTE(SUBSTITUTE(Source!BJ35,",",""),"сб."," "),"гл.","-"),"табл.","-"),"поз.","-"),"разд.","-"),Source!F35)</f>
        <v>ФССЦ (2010) ч.4 раздел10 -0021</v>
      </c>
      <c r="C85" s="96" t="str">
        <f>Source!G35</f>
        <v>Асфальтобетонные смеси дорожные, аэродромные и асфальтобетон (горячие и теплые для пористого асфальтобетона щебеночные и гравийные), марка I</v>
      </c>
      <c r="D85" s="219">
        <f>Source!I35</f>
        <v>-16.2711</v>
      </c>
      <c r="E85" s="221"/>
      <c r="F85" s="221"/>
      <c r="G85" s="97"/>
      <c r="H85" s="97"/>
      <c r="I85" s="98">
        <f>Source!AC35</f>
        <v>459.91</v>
      </c>
      <c r="J85" s="221"/>
      <c r="K85" s="221"/>
      <c r="L85" s="98"/>
      <c r="M85" s="98"/>
      <c r="N85" s="98">
        <f>Source!P35</f>
        <v>-36967.21</v>
      </c>
      <c r="O85" s="99"/>
      <c r="P85" s="100"/>
      <c r="Q85" s="101"/>
    </row>
    <row r="86" spans="1:17" ht="15.75">
      <c r="A86" s="102"/>
      <c r="B86" s="103"/>
      <c r="C86" s="104" t="str">
        <f>IF(Source!DW35="",Source!H35,Source!DW35)</f>
        <v>т</v>
      </c>
      <c r="D86" s="220"/>
      <c r="E86" s="220"/>
      <c r="F86" s="220"/>
      <c r="G86" s="105"/>
      <c r="H86" s="105"/>
      <c r="I86" s="105"/>
      <c r="J86" s="222"/>
      <c r="K86" s="222"/>
      <c r="L86" s="106"/>
      <c r="M86" s="106"/>
      <c r="N86" s="106"/>
      <c r="O86" s="107"/>
      <c r="P86" s="108"/>
      <c r="Q86" s="109"/>
    </row>
    <row r="87" spans="1:17" ht="31.5">
      <c r="A87" s="94" t="str">
        <f>Source!E36</f>
        <v>6,2</v>
      </c>
      <c r="B87" s="95" t="str">
        <f>IF(Source!BJ36&lt;&gt;"",SUBSTITUTE(SUBSTITUTE(SUBSTITUTE(SUBSTITUTE(SUBSTITUTE(SUBSTITUTE(Source!BJ36,",",""),"сб."," "),"гл.","-"),"табл.","-"),"поз.","-"),"разд.","-"),Source!F36)</f>
        <v>ФССЦ (2010) ч.4 раздел10 -0008</v>
      </c>
      <c r="C87" s="96" t="str">
        <f>Source!G36</f>
        <v>Асфальтобетонные смеси дорожные, марка II, тип Г</v>
      </c>
      <c r="D87" s="219">
        <f>Source!I36</f>
        <v>16.2711</v>
      </c>
      <c r="E87" s="221"/>
      <c r="F87" s="221"/>
      <c r="G87" s="97"/>
      <c r="H87" s="97"/>
      <c r="I87" s="98">
        <f>Source!AC36</f>
        <v>571.6</v>
      </c>
      <c r="J87" s="221"/>
      <c r="K87" s="221"/>
      <c r="L87" s="98"/>
      <c r="M87" s="98"/>
      <c r="N87" s="98">
        <f>Source!P36</f>
        <v>45944.77</v>
      </c>
      <c r="O87" s="99"/>
      <c r="P87" s="100"/>
      <c r="Q87" s="101"/>
    </row>
    <row r="88" spans="1:17" ht="15.75">
      <c r="A88" s="102"/>
      <c r="B88" s="103"/>
      <c r="C88" s="104" t="str">
        <f>IF(Source!DW36="",Source!H36,Source!DW36)</f>
        <v>т</v>
      </c>
      <c r="D88" s="220"/>
      <c r="E88" s="220"/>
      <c r="F88" s="220"/>
      <c r="G88" s="105"/>
      <c r="H88" s="105"/>
      <c r="I88" s="105"/>
      <c r="J88" s="222"/>
      <c r="K88" s="222"/>
      <c r="L88" s="106"/>
      <c r="M88" s="106"/>
      <c r="N88" s="106"/>
      <c r="O88" s="107"/>
      <c r="P88" s="108"/>
      <c r="Q88" s="109"/>
    </row>
    <row r="89" spans="1:17" ht="110.25">
      <c r="A89" s="47" t="str">
        <f>Source!E37</f>
        <v>7</v>
      </c>
      <c r="B89" s="48" t="str">
        <f>IF(Source!BJ37&lt;&gt;"",SUBSTITUTE(SUBSTITUTE(SUBSTITUTE(SUBSTITUTE(SUBSTITUTE(SUBSTITUTE(Source!BJ37,",",""),"сб."," "),"гл.","-"),"табл.","-"),"поз.","-"),"разд.","-"),Source!F37)&amp;" Кэмм*1,25"&amp;" Кзпм*1,25"&amp;" Козп*1,15"&amp;" Ктзс*1,15"&amp;" Ктзм*1,25"</f>
        <v>ФЕР 2009  27-07-001-1 Кэмм*1,25 Кзпм*1,25 Козп*1,15 Ктзс*1,15 Ктзм*1,25</v>
      </c>
      <c r="C89" s="49" t="str">
        <f>Source!G37</f>
        <v>Устройство асфальтобетонных покрытий дорожек и тротуаров однослойных из литой мелкозернистой асфальто-бетонной смеси толщиной 3 см</v>
      </c>
      <c r="D89" s="50">
        <f>Source!I37</f>
        <v>3.4</v>
      </c>
      <c r="E89" s="223">
        <f>Source!AB37</f>
        <v>3601.999</v>
      </c>
      <c r="F89" s="223"/>
      <c r="G89" s="223">
        <f>Source!AD37</f>
        <v>72.1</v>
      </c>
      <c r="H89" s="223"/>
      <c r="I89" s="90">
        <f>Source!AC37</f>
        <v>3368.37</v>
      </c>
      <c r="J89" s="224">
        <f>Source!O37</f>
        <v>60499.17</v>
      </c>
      <c r="K89" s="224"/>
      <c r="L89" s="51">
        <f>Source!S37</f>
        <v>2713.04</v>
      </c>
      <c r="M89" s="91">
        <f>Source!Q37</f>
        <v>1210.99</v>
      </c>
      <c r="N89" s="92">
        <f>Source!P37</f>
        <v>56575.14</v>
      </c>
      <c r="O89" s="52"/>
      <c r="P89" s="93">
        <f>Source!U37</f>
        <v>59.11919999999999</v>
      </c>
      <c r="Q89" s="53"/>
    </row>
    <row r="90" spans="1:17" ht="15.75">
      <c r="A90" s="54"/>
      <c r="B90" s="55"/>
      <c r="C90" s="56" t="str">
        <f>Source!H37</f>
        <v>100 м2</v>
      </c>
      <c r="D90" s="57"/>
      <c r="E90" s="211">
        <f>Source!AF37</f>
        <v>161.529</v>
      </c>
      <c r="F90" s="211"/>
      <c r="G90" s="211">
        <f>Source!AE37</f>
        <v>0.7124999999999999</v>
      </c>
      <c r="H90" s="211"/>
      <c r="I90" s="59"/>
      <c r="J90" s="60"/>
      <c r="K90" s="60"/>
      <c r="L90" s="61"/>
      <c r="M90" s="62">
        <f>Source!R37</f>
        <v>11.97</v>
      </c>
      <c r="N90" s="62"/>
      <c r="O90" s="62"/>
      <c r="P90" s="63">
        <f>Source!V37</f>
        <v>0.2125</v>
      </c>
      <c r="Q90" s="64"/>
    </row>
    <row r="91" spans="1:17" ht="15.75">
      <c r="A91" s="65"/>
      <c r="B91" s="66"/>
      <c r="C91" s="212" t="s">
        <v>514</v>
      </c>
      <c r="D91" s="212"/>
      <c r="E91" s="67">
        <f>Source!BA37</f>
        <v>4.94</v>
      </c>
      <c r="F91" s="68" t="s">
        <v>515</v>
      </c>
      <c r="G91" s="69">
        <f>Source!AF37</f>
        <v>161.529</v>
      </c>
      <c r="H91" s="68" t="s">
        <v>515</v>
      </c>
      <c r="I91" s="70">
        <f>Source!I37</f>
        <v>3.4</v>
      </c>
      <c r="J91" s="71" t="s">
        <v>516</v>
      </c>
      <c r="K91" s="72">
        <f>Source!S37</f>
        <v>2713.04</v>
      </c>
      <c r="L91" s="73"/>
      <c r="M91" s="74"/>
      <c r="N91" s="75"/>
      <c r="O91" s="75"/>
      <c r="P91" s="76"/>
      <c r="Q91" s="77"/>
    </row>
    <row r="92" spans="1:17" ht="15.75">
      <c r="A92" s="65"/>
      <c r="B92" s="66"/>
      <c r="C92" s="213" t="s">
        <v>517</v>
      </c>
      <c r="D92" s="213"/>
      <c r="E92" s="67">
        <f>Source!BB37</f>
        <v>4.94</v>
      </c>
      <c r="F92" s="68" t="s">
        <v>515</v>
      </c>
      <c r="G92" s="69">
        <f>Source!AD37</f>
        <v>72.1</v>
      </c>
      <c r="H92" s="68" t="s">
        <v>515</v>
      </c>
      <c r="I92" s="70">
        <f>Source!I37</f>
        <v>3.4</v>
      </c>
      <c r="J92" s="71" t="s">
        <v>516</v>
      </c>
      <c r="K92" s="72">
        <f>Source!Q37</f>
        <v>1210.99</v>
      </c>
      <c r="L92" s="73"/>
      <c r="M92" s="74"/>
      <c r="N92" s="74"/>
      <c r="O92" s="74"/>
      <c r="P92" s="78"/>
      <c r="Q92" s="79"/>
    </row>
    <row r="93" spans="1:17" ht="15.75">
      <c r="A93" s="65"/>
      <c r="B93" s="66"/>
      <c r="C93" s="213" t="s">
        <v>518</v>
      </c>
      <c r="D93" s="213"/>
      <c r="E93" s="67">
        <f>Source!BS37</f>
        <v>4.94</v>
      </c>
      <c r="F93" s="68" t="s">
        <v>515</v>
      </c>
      <c r="G93" s="69">
        <f>Source!AE37</f>
        <v>0.7124999999999999</v>
      </c>
      <c r="H93" s="68" t="s">
        <v>515</v>
      </c>
      <c r="I93" s="70">
        <f>Source!I37</f>
        <v>3.4</v>
      </c>
      <c r="J93" s="71" t="s">
        <v>516</v>
      </c>
      <c r="K93" s="72">
        <f>Source!R37</f>
        <v>11.97</v>
      </c>
      <c r="L93" s="73"/>
      <c r="M93" s="74"/>
      <c r="N93" s="74"/>
      <c r="O93" s="74"/>
      <c r="P93" s="78"/>
      <c r="Q93" s="79"/>
    </row>
    <row r="94" spans="1:17" ht="15.75">
      <c r="A94" s="65"/>
      <c r="B94" s="66"/>
      <c r="C94" s="213" t="s">
        <v>519</v>
      </c>
      <c r="D94" s="213"/>
      <c r="E94" s="67">
        <f>Source!BC37</f>
        <v>4.94</v>
      </c>
      <c r="F94" s="68" t="s">
        <v>515</v>
      </c>
      <c r="G94" s="69">
        <f>Source!AC37</f>
        <v>3368.37</v>
      </c>
      <c r="H94" s="68" t="s">
        <v>515</v>
      </c>
      <c r="I94" s="70">
        <f>Source!I37</f>
        <v>3.4</v>
      </c>
      <c r="J94" s="71" t="s">
        <v>516</v>
      </c>
      <c r="K94" s="72">
        <f>Source!P37</f>
        <v>56575.14</v>
      </c>
      <c r="L94" s="73"/>
      <c r="M94" s="74"/>
      <c r="N94" s="74"/>
      <c r="O94" s="74"/>
      <c r="P94" s="80"/>
      <c r="Q94" s="79"/>
    </row>
    <row r="95" spans="1:17" ht="17.25">
      <c r="A95" s="81"/>
      <c r="B95" s="82"/>
      <c r="C95" s="214" t="s">
        <v>104</v>
      </c>
      <c r="D95" s="214"/>
      <c r="E95" s="214"/>
      <c r="F95" s="83"/>
      <c r="G95" s="215">
        <f>Source!AT37/100</f>
        <v>1.42</v>
      </c>
      <c r="H95" s="215"/>
      <c r="I95" s="216" t="s">
        <v>520</v>
      </c>
      <c r="J95" s="216"/>
      <c r="K95" s="58">
        <f>M95+M96</f>
        <v>2725.0099999999998</v>
      </c>
      <c r="L95" s="84"/>
      <c r="M95" s="85">
        <f>Source!S37</f>
        <v>2713.04</v>
      </c>
      <c r="N95" s="217">
        <f>Source!X37</f>
        <v>3869.51</v>
      </c>
      <c r="O95" s="216"/>
      <c r="P95" s="218"/>
      <c r="Q95" s="86"/>
    </row>
    <row r="96" spans="1:17" ht="17.25">
      <c r="A96" s="87"/>
      <c r="B96" s="88"/>
      <c r="C96" s="214" t="s">
        <v>106</v>
      </c>
      <c r="D96" s="214"/>
      <c r="E96" s="214"/>
      <c r="F96" s="89"/>
      <c r="G96" s="215">
        <f>Source!AU37/100</f>
        <v>0.81</v>
      </c>
      <c r="H96" s="215"/>
      <c r="I96" s="216" t="s">
        <v>520</v>
      </c>
      <c r="J96" s="216"/>
      <c r="K96" s="58">
        <f>M95+M96</f>
        <v>2725.0099999999998</v>
      </c>
      <c r="L96" s="84"/>
      <c r="M96" s="85">
        <f>Source!R37</f>
        <v>11.97</v>
      </c>
      <c r="N96" s="217">
        <f>Source!Y37</f>
        <v>2207.26</v>
      </c>
      <c r="O96" s="216"/>
      <c r="P96" s="218"/>
      <c r="Q96" s="86"/>
    </row>
    <row r="97" spans="1:17" ht="31.5">
      <c r="A97" s="94" t="str">
        <f>Source!E38</f>
        <v>7,1</v>
      </c>
      <c r="B97" s="95" t="str">
        <f>IF(Source!BJ38&lt;&gt;"",SUBSTITUTE(SUBSTITUTE(SUBSTITUTE(SUBSTITUTE(SUBSTITUTE(SUBSTITUTE(Source!BJ38,",",""),"сб."," "),"гл.","-"),"табл.","-"),"поз.","-"),"разд.","-"),Source!F38)</f>
        <v>ФССЦ (2010) ч.4 раздел10 -0054</v>
      </c>
      <c r="C97" s="96" t="str">
        <f>Source!G38</f>
        <v>Асфальт литой для покрытий тротуаров тип II (жесткий)</v>
      </c>
      <c r="D97" s="219">
        <f>Source!I38</f>
        <v>-24.276</v>
      </c>
      <c r="E97" s="221"/>
      <c r="F97" s="221"/>
      <c r="G97" s="97"/>
      <c r="H97" s="97"/>
      <c r="I97" s="98">
        <f>Source!AC38</f>
        <v>455.39</v>
      </c>
      <c r="J97" s="221"/>
      <c r="K97" s="221"/>
      <c r="L97" s="98"/>
      <c r="M97" s="98"/>
      <c r="N97" s="98">
        <f>Source!P38</f>
        <v>-54611.94</v>
      </c>
      <c r="O97" s="99"/>
      <c r="P97" s="100"/>
      <c r="Q97" s="101"/>
    </row>
    <row r="98" spans="1:17" ht="15.75">
      <c r="A98" s="102"/>
      <c r="B98" s="103"/>
      <c r="C98" s="104" t="str">
        <f>IF(Source!DW38="",Source!H38,Source!DW38)</f>
        <v>т</v>
      </c>
      <c r="D98" s="220"/>
      <c r="E98" s="220"/>
      <c r="F98" s="220"/>
      <c r="G98" s="105"/>
      <c r="H98" s="105"/>
      <c r="I98" s="105"/>
      <c r="J98" s="222"/>
      <c r="K98" s="222"/>
      <c r="L98" s="106"/>
      <c r="M98" s="106"/>
      <c r="N98" s="106"/>
      <c r="O98" s="107"/>
      <c r="P98" s="108"/>
      <c r="Q98" s="109"/>
    </row>
    <row r="99" spans="1:17" ht="31.5">
      <c r="A99" s="94" t="str">
        <f>Source!E39</f>
        <v>7,2</v>
      </c>
      <c r="B99" s="95" t="str">
        <f>IF(Source!BJ39&lt;&gt;"",SUBSTITUTE(SUBSTITUTE(SUBSTITUTE(SUBSTITUTE(SUBSTITUTE(SUBSTITUTE(Source!BJ39,",",""),"сб."," "),"гл.","-"),"табл.","-"),"поз.","-"),"разд.","-"),Source!F39)</f>
        <v>ФССЦ (2010) ч.4 раздел10 -0007</v>
      </c>
      <c r="C99" s="96" t="str">
        <f>Source!G39</f>
        <v>Асфальтобетонные смеси дорожные марка II, тип Г</v>
      </c>
      <c r="D99" s="219">
        <f>Source!I39</f>
        <v>24.276</v>
      </c>
      <c r="E99" s="221"/>
      <c r="F99" s="221"/>
      <c r="G99" s="97"/>
      <c r="H99" s="97"/>
      <c r="I99" s="98">
        <f>Source!AC39</f>
        <v>571.6</v>
      </c>
      <c r="J99" s="221"/>
      <c r="K99" s="221"/>
      <c r="L99" s="98"/>
      <c r="M99" s="98"/>
      <c r="N99" s="98">
        <f>Source!P39</f>
        <v>68548.24</v>
      </c>
      <c r="O99" s="99"/>
      <c r="P99" s="100"/>
      <c r="Q99" s="101"/>
    </row>
    <row r="100" spans="1:17" ht="15.75">
      <c r="A100" s="102"/>
      <c r="B100" s="103"/>
      <c r="C100" s="104" t="str">
        <f>IF(Source!DW39="",Source!H39,Source!DW39)</f>
        <v>т</v>
      </c>
      <c r="D100" s="220"/>
      <c r="E100" s="220"/>
      <c r="F100" s="220"/>
      <c r="G100" s="105"/>
      <c r="H100" s="105"/>
      <c r="I100" s="105"/>
      <c r="J100" s="222"/>
      <c r="K100" s="222"/>
      <c r="L100" s="106"/>
      <c r="M100" s="106"/>
      <c r="N100" s="106"/>
      <c r="O100" s="107"/>
      <c r="P100" s="108"/>
      <c r="Q100" s="109"/>
    </row>
    <row r="101" spans="1:17" ht="85.5">
      <c r="A101" s="47" t="str">
        <f>Source!E40</f>
        <v>8</v>
      </c>
      <c r="B101" s="48" t="str">
        <f>IF(Source!BJ40&lt;&gt;"",SUBSTITUTE(SUBSTITUTE(SUBSTITUTE(SUBSTITUTE(SUBSTITUTE(SUBSTITUTE(Source!BJ40,",",""),"сб."," "),"гл.","-"),"табл.","-"),"поз.","-"),"разд.","-"),Source!F40)&amp;" Кэмм*1,25"&amp;" Кзпм*1,25"&amp;" Козп*1,15"&amp;" Ктзс*1,15"&amp;" Ктзм*1,25"</f>
        <v>ФЕР 2009  27-07-001-2 Кэмм*1,25 Кзпм*1,25 Козп*1,15 Ктзс*1,15 Ктзм*1,25</v>
      </c>
      <c r="C101" s="49" t="str">
        <f>Source!G40</f>
        <v>На каждые 0,5 см изменения толщины покрытия добавлять к расценке 27-07-001-01 (до 5 см)</v>
      </c>
      <c r="D101" s="50">
        <f>Source!I40</f>
        <v>13.6</v>
      </c>
      <c r="E101" s="223">
        <f>Source!AB40</f>
        <v>586.3025</v>
      </c>
      <c r="F101" s="223"/>
      <c r="G101" s="223">
        <f>Source!AD40</f>
        <v>10.5</v>
      </c>
      <c r="H101" s="223"/>
      <c r="I101" s="90">
        <f>Source!AC40</f>
        <v>551.02</v>
      </c>
      <c r="J101" s="224">
        <f>Source!O40</f>
        <v>39390.15</v>
      </c>
      <c r="K101" s="224"/>
      <c r="L101" s="51">
        <f>Source!S40</f>
        <v>1664.99</v>
      </c>
      <c r="M101" s="91">
        <f>Source!Q40</f>
        <v>705.43</v>
      </c>
      <c r="N101" s="92">
        <f>Source!P40</f>
        <v>37019.73</v>
      </c>
      <c r="O101" s="52"/>
      <c r="P101" s="93">
        <f>Source!U40</f>
        <v>36.2848</v>
      </c>
      <c r="Q101" s="53"/>
    </row>
    <row r="102" spans="1:17" ht="15.75">
      <c r="A102" s="54"/>
      <c r="B102" s="55"/>
      <c r="C102" s="56" t="str">
        <f>Source!H40</f>
        <v>100 м2</v>
      </c>
      <c r="D102" s="57"/>
      <c r="E102" s="211">
        <f>Source!AF40</f>
        <v>24.7825</v>
      </c>
      <c r="F102" s="211"/>
      <c r="G102" s="211">
        <f>Source!AE40</f>
        <v>0</v>
      </c>
      <c r="H102" s="211"/>
      <c r="I102" s="59"/>
      <c r="J102" s="60"/>
      <c r="K102" s="60"/>
      <c r="L102" s="61"/>
      <c r="M102" s="62">
        <f>Source!R40</f>
        <v>0</v>
      </c>
      <c r="N102" s="62"/>
      <c r="O102" s="62"/>
      <c r="P102" s="63">
        <f>Source!V40</f>
        <v>0</v>
      </c>
      <c r="Q102" s="64"/>
    </row>
    <row r="103" spans="1:17" ht="15.75">
      <c r="A103" s="65"/>
      <c r="B103" s="66"/>
      <c r="C103" s="212" t="s">
        <v>514</v>
      </c>
      <c r="D103" s="212"/>
      <c r="E103" s="67">
        <f>Source!BA40</f>
        <v>4.94</v>
      </c>
      <c r="F103" s="68" t="s">
        <v>515</v>
      </c>
      <c r="G103" s="69">
        <f>Source!AF40</f>
        <v>24.7825</v>
      </c>
      <c r="H103" s="68" t="s">
        <v>515</v>
      </c>
      <c r="I103" s="70">
        <f>Source!I40</f>
        <v>13.6</v>
      </c>
      <c r="J103" s="71" t="s">
        <v>516</v>
      </c>
      <c r="K103" s="72">
        <f>Source!S40</f>
        <v>1664.99</v>
      </c>
      <c r="L103" s="73"/>
      <c r="M103" s="74"/>
      <c r="N103" s="75"/>
      <c r="O103" s="75"/>
      <c r="P103" s="76"/>
      <c r="Q103" s="77"/>
    </row>
    <row r="104" spans="1:17" ht="15.75">
      <c r="A104" s="65"/>
      <c r="B104" s="66"/>
      <c r="C104" s="213" t="s">
        <v>517</v>
      </c>
      <c r="D104" s="213"/>
      <c r="E104" s="67">
        <f>Source!BB40</f>
        <v>4.94</v>
      </c>
      <c r="F104" s="68" t="s">
        <v>515</v>
      </c>
      <c r="G104" s="69">
        <f>Source!AD40</f>
        <v>10.5</v>
      </c>
      <c r="H104" s="68" t="s">
        <v>515</v>
      </c>
      <c r="I104" s="70">
        <f>Source!I40</f>
        <v>13.6</v>
      </c>
      <c r="J104" s="71" t="s">
        <v>516</v>
      </c>
      <c r="K104" s="72">
        <f>Source!Q40</f>
        <v>705.43</v>
      </c>
      <c r="L104" s="73"/>
      <c r="M104" s="74"/>
      <c r="N104" s="74"/>
      <c r="O104" s="74"/>
      <c r="P104" s="78"/>
      <c r="Q104" s="79"/>
    </row>
    <row r="105" spans="1:17" ht="15.75">
      <c r="A105" s="65"/>
      <c r="B105" s="66"/>
      <c r="C105" s="213" t="s">
        <v>518</v>
      </c>
      <c r="D105" s="213"/>
      <c r="E105" s="67">
        <f>Source!BS40</f>
        <v>4.94</v>
      </c>
      <c r="F105" s="68" t="s">
        <v>515</v>
      </c>
      <c r="G105" s="69">
        <f>Source!AE40</f>
        <v>0</v>
      </c>
      <c r="H105" s="68" t="s">
        <v>515</v>
      </c>
      <c r="I105" s="70">
        <f>Source!I40</f>
        <v>13.6</v>
      </c>
      <c r="J105" s="71" t="s">
        <v>516</v>
      </c>
      <c r="K105" s="72">
        <f>Source!R40</f>
        <v>0</v>
      </c>
      <c r="L105" s="73"/>
      <c r="M105" s="74"/>
      <c r="N105" s="74"/>
      <c r="O105" s="74"/>
      <c r="P105" s="78"/>
      <c r="Q105" s="79"/>
    </row>
    <row r="106" spans="1:17" ht="15.75">
      <c r="A106" s="65"/>
      <c r="B106" s="66"/>
      <c r="C106" s="213" t="s">
        <v>519</v>
      </c>
      <c r="D106" s="213"/>
      <c r="E106" s="67">
        <f>Source!BC40</f>
        <v>4.94</v>
      </c>
      <c r="F106" s="68" t="s">
        <v>515</v>
      </c>
      <c r="G106" s="69">
        <f>Source!AC40</f>
        <v>551.02</v>
      </c>
      <c r="H106" s="68" t="s">
        <v>515</v>
      </c>
      <c r="I106" s="70">
        <f>Source!I40</f>
        <v>13.6</v>
      </c>
      <c r="J106" s="71" t="s">
        <v>516</v>
      </c>
      <c r="K106" s="72">
        <f>Source!P40</f>
        <v>37019.73</v>
      </c>
      <c r="L106" s="73"/>
      <c r="M106" s="74"/>
      <c r="N106" s="74"/>
      <c r="O106" s="74"/>
      <c r="P106" s="80"/>
      <c r="Q106" s="79"/>
    </row>
    <row r="107" spans="1:17" ht="17.25">
      <c r="A107" s="81"/>
      <c r="B107" s="82"/>
      <c r="C107" s="214" t="s">
        <v>104</v>
      </c>
      <c r="D107" s="214"/>
      <c r="E107" s="214"/>
      <c r="F107" s="83"/>
      <c r="G107" s="215">
        <f>Source!AT40/100</f>
        <v>1.42</v>
      </c>
      <c r="H107" s="215"/>
      <c r="I107" s="216" t="s">
        <v>520</v>
      </c>
      <c r="J107" s="216"/>
      <c r="K107" s="58">
        <f>M107+M108</f>
        <v>1664.99</v>
      </c>
      <c r="L107" s="84"/>
      <c r="M107" s="85">
        <f>Source!S40</f>
        <v>1664.99</v>
      </c>
      <c r="N107" s="217">
        <f>Source!X40</f>
        <v>2364.29</v>
      </c>
      <c r="O107" s="216"/>
      <c r="P107" s="218"/>
      <c r="Q107" s="86"/>
    </row>
    <row r="108" spans="1:17" ht="17.25">
      <c r="A108" s="87"/>
      <c r="B108" s="88"/>
      <c r="C108" s="214" t="s">
        <v>106</v>
      </c>
      <c r="D108" s="214"/>
      <c r="E108" s="214"/>
      <c r="F108" s="89"/>
      <c r="G108" s="215">
        <f>Source!AU40/100</f>
        <v>0.81</v>
      </c>
      <c r="H108" s="215"/>
      <c r="I108" s="216" t="s">
        <v>520</v>
      </c>
      <c r="J108" s="216"/>
      <c r="K108" s="58">
        <f>M107+M108</f>
        <v>1664.99</v>
      </c>
      <c r="L108" s="84"/>
      <c r="M108" s="85">
        <f>Source!R40</f>
        <v>0</v>
      </c>
      <c r="N108" s="217">
        <f>Source!Y40</f>
        <v>1348.64</v>
      </c>
      <c r="O108" s="216"/>
      <c r="P108" s="218"/>
      <c r="Q108" s="86"/>
    </row>
    <row r="109" spans="1:17" ht="31.5">
      <c r="A109" s="94" t="str">
        <f>Source!E41</f>
        <v>8,1</v>
      </c>
      <c r="B109" s="95" t="str">
        <f>IF(Source!BJ41&lt;&gt;"",SUBSTITUTE(SUBSTITUTE(SUBSTITUTE(SUBSTITUTE(SUBSTITUTE(SUBSTITUTE(Source!BJ41,",",""),"сб."," "),"гл.","-"),"табл.","-"),"поз.","-"),"разд.","-"),Source!F41)</f>
        <v>ФССЦ (2010) ч.4 раздел10 -0054</v>
      </c>
      <c r="C109" s="96" t="str">
        <f>Source!G41</f>
        <v>Асфальт литой для покрытий тротуаров тип II (жесткий)</v>
      </c>
      <c r="D109" s="219">
        <f>Source!I41</f>
        <v>-16.456</v>
      </c>
      <c r="E109" s="221"/>
      <c r="F109" s="221"/>
      <c r="G109" s="97"/>
      <c r="H109" s="97"/>
      <c r="I109" s="98">
        <f>Source!AC41</f>
        <v>455.39</v>
      </c>
      <c r="J109" s="221"/>
      <c r="K109" s="221"/>
      <c r="L109" s="98"/>
      <c r="M109" s="98"/>
      <c r="N109" s="98">
        <f>Source!P41</f>
        <v>-37019.86</v>
      </c>
      <c r="O109" s="99"/>
      <c r="P109" s="100"/>
      <c r="Q109" s="101"/>
    </row>
    <row r="110" spans="1:17" ht="15.75">
      <c r="A110" s="102"/>
      <c r="B110" s="103"/>
      <c r="C110" s="104" t="str">
        <f>IF(Source!DW41="",Source!H41,Source!DW41)</f>
        <v>т</v>
      </c>
      <c r="D110" s="220"/>
      <c r="E110" s="220"/>
      <c r="F110" s="220"/>
      <c r="G110" s="105"/>
      <c r="H110" s="105"/>
      <c r="I110" s="105"/>
      <c r="J110" s="222"/>
      <c r="K110" s="222"/>
      <c r="L110" s="106"/>
      <c r="M110" s="106"/>
      <c r="N110" s="106"/>
      <c r="O110" s="107"/>
      <c r="P110" s="108"/>
      <c r="Q110" s="109"/>
    </row>
    <row r="111" spans="1:17" ht="31.5">
      <c r="A111" s="94" t="str">
        <f>Source!E42</f>
        <v>8,2</v>
      </c>
      <c r="B111" s="95" t="str">
        <f>IF(Source!BJ42&lt;&gt;"",SUBSTITUTE(SUBSTITUTE(SUBSTITUTE(SUBSTITUTE(SUBSTITUTE(SUBSTITUTE(Source!BJ42,",",""),"сб."," "),"гл.","-"),"табл.","-"),"поз.","-"),"разд.","-"),Source!F42)</f>
        <v>ФССЦ (2010) ч.4 раздел10 -0008</v>
      </c>
      <c r="C111" s="96" t="str">
        <f>Source!G42</f>
        <v>Асфальтобетонные смеси дорожные марка II, тип Г</v>
      </c>
      <c r="D111" s="219">
        <f>Source!I42</f>
        <v>16.456</v>
      </c>
      <c r="E111" s="221"/>
      <c r="F111" s="221"/>
      <c r="G111" s="97"/>
      <c r="H111" s="97"/>
      <c r="I111" s="98">
        <f>Source!AC42</f>
        <v>571.6</v>
      </c>
      <c r="J111" s="221"/>
      <c r="K111" s="221"/>
      <c r="L111" s="98"/>
      <c r="M111" s="98"/>
      <c r="N111" s="98">
        <f>Source!P42</f>
        <v>46466.87</v>
      </c>
      <c r="O111" s="99"/>
      <c r="P111" s="100"/>
      <c r="Q111" s="101"/>
    </row>
    <row r="112" spans="1:17" ht="15.75">
      <c r="A112" s="102"/>
      <c r="B112" s="103"/>
      <c r="C112" s="104" t="str">
        <f>IF(Source!DW42="",Source!H42,Source!DW42)</f>
        <v>т</v>
      </c>
      <c r="D112" s="220"/>
      <c r="E112" s="220"/>
      <c r="F112" s="220"/>
      <c r="G112" s="105"/>
      <c r="H112" s="105"/>
      <c r="I112" s="105"/>
      <c r="J112" s="222"/>
      <c r="K112" s="222"/>
      <c r="L112" s="106"/>
      <c r="M112" s="106"/>
      <c r="N112" s="106"/>
      <c r="O112" s="107"/>
      <c r="P112" s="108"/>
      <c r="Q112" s="109"/>
    </row>
    <row r="113" spans="1:17" ht="31.5">
      <c r="A113" s="47" t="str">
        <f>Source!E43</f>
        <v>9</v>
      </c>
      <c r="B113" s="48" t="str">
        <f>IF(Source!BJ43&lt;&gt;"",SUBSTITUTE(SUBSTITUTE(SUBSTITUTE(SUBSTITUTE(SUBSTITUTE(SUBSTITUTE(Source!BJ43,",",""),"сб."," "),"гл.","-"),"табл.","-"),"поз.","-"),"разд.","-"),Source!F43)</f>
        <v>ФССЦ ч.1  311-01-144-1</v>
      </c>
      <c r="C113" s="49" t="str">
        <f>Source!G43</f>
        <v>Погрузка: Грунта от очистки основания</v>
      </c>
      <c r="D113" s="50">
        <f>Source!I43</f>
        <v>16.759999999999998</v>
      </c>
      <c r="E113" s="223">
        <f>Source!AB43</f>
        <v>3.65</v>
      </c>
      <c r="F113" s="223"/>
      <c r="G113" s="223">
        <f>Source!AD43</f>
        <v>3.65</v>
      </c>
      <c r="H113" s="223"/>
      <c r="I113" s="90">
        <f>Source!AC43</f>
        <v>0</v>
      </c>
      <c r="J113" s="224">
        <f>Source!O43</f>
        <v>302.2</v>
      </c>
      <c r="K113" s="224"/>
      <c r="L113" s="51">
        <f>Source!S43</f>
        <v>0</v>
      </c>
      <c r="M113" s="91">
        <f>Source!Q43</f>
        <v>302.2</v>
      </c>
      <c r="N113" s="92">
        <f>Source!P43</f>
        <v>0</v>
      </c>
      <c r="O113" s="52"/>
      <c r="P113" s="93">
        <f>Source!U43</f>
        <v>0</v>
      </c>
      <c r="Q113" s="53"/>
    </row>
    <row r="114" spans="1:17" ht="15.75">
      <c r="A114" s="54"/>
      <c r="B114" s="55"/>
      <c r="C114" s="56" t="str">
        <f>Source!H43</f>
        <v>т</v>
      </c>
      <c r="D114" s="57"/>
      <c r="E114" s="211">
        <f>Source!AF43</f>
        <v>0</v>
      </c>
      <c r="F114" s="211"/>
      <c r="G114" s="211">
        <f>Source!AE43</f>
        <v>0.39</v>
      </c>
      <c r="H114" s="211"/>
      <c r="I114" s="59"/>
      <c r="J114" s="60"/>
      <c r="K114" s="60"/>
      <c r="L114" s="61"/>
      <c r="M114" s="62">
        <f>Source!R43</f>
        <v>32.29</v>
      </c>
      <c r="N114" s="62"/>
      <c r="O114" s="62"/>
      <c r="P114" s="63">
        <f>Source!V43</f>
        <v>0.48603999999999997</v>
      </c>
      <c r="Q114" s="64"/>
    </row>
    <row r="115" spans="1:17" ht="15.75">
      <c r="A115" s="65"/>
      <c r="B115" s="66"/>
      <c r="C115" s="212" t="s">
        <v>514</v>
      </c>
      <c r="D115" s="212"/>
      <c r="E115" s="67">
        <f>Source!BA43</f>
        <v>4.94</v>
      </c>
      <c r="F115" s="68" t="s">
        <v>515</v>
      </c>
      <c r="G115" s="69">
        <f>Source!AF43</f>
        <v>0</v>
      </c>
      <c r="H115" s="68" t="s">
        <v>515</v>
      </c>
      <c r="I115" s="70">
        <f>Source!I43</f>
        <v>16.759999999999998</v>
      </c>
      <c r="J115" s="71" t="s">
        <v>516</v>
      </c>
      <c r="K115" s="72">
        <f>Source!S43</f>
        <v>0</v>
      </c>
      <c r="L115" s="73"/>
      <c r="M115" s="74"/>
      <c r="N115" s="75"/>
      <c r="O115" s="75"/>
      <c r="P115" s="76"/>
      <c r="Q115" s="77"/>
    </row>
    <row r="116" spans="1:17" ht="15.75">
      <c r="A116" s="65"/>
      <c r="B116" s="66"/>
      <c r="C116" s="213" t="s">
        <v>517</v>
      </c>
      <c r="D116" s="213"/>
      <c r="E116" s="67">
        <f>Source!BB43</f>
        <v>4.94</v>
      </c>
      <c r="F116" s="68" t="s">
        <v>515</v>
      </c>
      <c r="G116" s="69">
        <f>Source!AD43</f>
        <v>3.65</v>
      </c>
      <c r="H116" s="68" t="s">
        <v>515</v>
      </c>
      <c r="I116" s="70">
        <f>Source!I43</f>
        <v>16.759999999999998</v>
      </c>
      <c r="J116" s="71" t="s">
        <v>516</v>
      </c>
      <c r="K116" s="72">
        <f>Source!Q43</f>
        <v>302.2</v>
      </c>
      <c r="L116" s="73"/>
      <c r="M116" s="74"/>
      <c r="N116" s="74"/>
      <c r="O116" s="74"/>
      <c r="P116" s="78"/>
      <c r="Q116" s="79"/>
    </row>
    <row r="117" spans="1:17" ht="15.75">
      <c r="A117" s="65"/>
      <c r="B117" s="66"/>
      <c r="C117" s="213" t="s">
        <v>518</v>
      </c>
      <c r="D117" s="213"/>
      <c r="E117" s="67">
        <f>Source!BS43</f>
        <v>4.94</v>
      </c>
      <c r="F117" s="68" t="s">
        <v>515</v>
      </c>
      <c r="G117" s="69">
        <f>Source!AE43</f>
        <v>0.39</v>
      </c>
      <c r="H117" s="68" t="s">
        <v>515</v>
      </c>
      <c r="I117" s="70">
        <f>Source!I43</f>
        <v>16.759999999999998</v>
      </c>
      <c r="J117" s="71" t="s">
        <v>516</v>
      </c>
      <c r="K117" s="72">
        <f>Source!R43</f>
        <v>32.29</v>
      </c>
      <c r="L117" s="73"/>
      <c r="M117" s="74"/>
      <c r="N117" s="74"/>
      <c r="O117" s="74"/>
      <c r="P117" s="78"/>
      <c r="Q117" s="79"/>
    </row>
    <row r="118" spans="1:17" ht="15.75">
      <c r="A118" s="65"/>
      <c r="B118" s="66"/>
      <c r="C118" s="213" t="s">
        <v>519</v>
      </c>
      <c r="D118" s="213"/>
      <c r="E118" s="67">
        <f>Source!BC43</f>
        <v>4.94</v>
      </c>
      <c r="F118" s="68" t="s">
        <v>515</v>
      </c>
      <c r="G118" s="69">
        <f>Source!AC43</f>
        <v>0</v>
      </c>
      <c r="H118" s="68" t="s">
        <v>515</v>
      </c>
      <c r="I118" s="70">
        <f>Source!I43</f>
        <v>16.759999999999998</v>
      </c>
      <c r="J118" s="71" t="s">
        <v>516</v>
      </c>
      <c r="K118" s="72">
        <f>Source!P43</f>
        <v>0</v>
      </c>
      <c r="L118" s="73"/>
      <c r="M118" s="74"/>
      <c r="N118" s="74"/>
      <c r="O118" s="74"/>
      <c r="P118" s="80"/>
      <c r="Q118" s="79"/>
    </row>
    <row r="119" spans="1:17" ht="17.25">
      <c r="A119" s="81"/>
      <c r="B119" s="82"/>
      <c r="C119" s="214" t="s">
        <v>104</v>
      </c>
      <c r="D119" s="214"/>
      <c r="E119" s="214"/>
      <c r="F119" s="83"/>
      <c r="G119" s="215">
        <f>Source!AT43/100</f>
        <v>1</v>
      </c>
      <c r="H119" s="215"/>
      <c r="I119" s="216" t="s">
        <v>520</v>
      </c>
      <c r="J119" s="216"/>
      <c r="K119" s="58">
        <f>M119+M120</f>
        <v>32.29</v>
      </c>
      <c r="L119" s="84"/>
      <c r="M119" s="85">
        <f>Source!S43</f>
        <v>0</v>
      </c>
      <c r="N119" s="217">
        <f>Source!X43</f>
        <v>32.29</v>
      </c>
      <c r="O119" s="216"/>
      <c r="P119" s="218"/>
      <c r="Q119" s="86"/>
    </row>
    <row r="120" spans="1:17" ht="17.25">
      <c r="A120" s="87"/>
      <c r="B120" s="88"/>
      <c r="C120" s="214" t="s">
        <v>106</v>
      </c>
      <c r="D120" s="214"/>
      <c r="E120" s="214"/>
      <c r="F120" s="89"/>
      <c r="G120" s="215">
        <f>Source!AU43/100</f>
        <v>0.51</v>
      </c>
      <c r="H120" s="215"/>
      <c r="I120" s="216" t="s">
        <v>520</v>
      </c>
      <c r="J120" s="216"/>
      <c r="K120" s="58">
        <f>M119+M120</f>
        <v>32.29</v>
      </c>
      <c r="L120" s="84"/>
      <c r="M120" s="85">
        <f>Source!R43</f>
        <v>32.29</v>
      </c>
      <c r="N120" s="217">
        <f>Source!Y43</f>
        <v>16.47</v>
      </c>
      <c r="O120" s="216"/>
      <c r="P120" s="218"/>
      <c r="Q120" s="86"/>
    </row>
    <row r="121" spans="1:17" ht="110.25">
      <c r="A121" s="47" t="str">
        <f>Source!E44</f>
        <v>10</v>
      </c>
      <c r="B121" s="48" t="str">
        <f>IF(Source!BJ44&lt;&gt;"",SUBSTITUTE(SUBSTITUTE(SUBSTITUTE(SUBSTITUTE(SUBSTITUTE(SUBSTITUTE(Source!BJ44,",",""),"сб."," "),"гл.","-"),"табл.","-"),"поз.","-"),"разд.","-"),Source!F44)</f>
        <v>ФССЦ ч.1  310-30-0-1</v>
      </c>
      <c r="C121" s="49" t="str">
        <f>Source!G44</f>
        <v>Перевозка грунта от очистки основания автомобилями-самосвалами грузоподъемностью 10 т, работающих вне карьера на расстояние 10 км, класс груза 1.</v>
      </c>
      <c r="D121" s="50">
        <f>Source!I44</f>
        <v>16.759999999999998</v>
      </c>
      <c r="E121" s="223">
        <f>Source!AB44</f>
        <v>10.41</v>
      </c>
      <c r="F121" s="223"/>
      <c r="G121" s="223">
        <f>Source!AD44</f>
        <v>10.41</v>
      </c>
      <c r="H121" s="223"/>
      <c r="I121" s="90">
        <f>Source!AC44</f>
        <v>0</v>
      </c>
      <c r="J121" s="224">
        <f>Source!O44</f>
        <v>861.89</v>
      </c>
      <c r="K121" s="224"/>
      <c r="L121" s="51">
        <f>Source!S44</f>
        <v>0</v>
      </c>
      <c r="M121" s="91">
        <f>Source!Q44</f>
        <v>861.89</v>
      </c>
      <c r="N121" s="92">
        <f>Source!P44</f>
        <v>0</v>
      </c>
      <c r="O121" s="52"/>
      <c r="P121" s="93">
        <f>Source!U44</f>
        <v>0</v>
      </c>
      <c r="Q121" s="53"/>
    </row>
    <row r="122" spans="1:17" ht="15.75">
      <c r="A122" s="54"/>
      <c r="B122" s="55"/>
      <c r="C122" s="56" t="str">
        <f>Source!H44</f>
        <v>т</v>
      </c>
      <c r="D122" s="57"/>
      <c r="E122" s="211">
        <f>Source!AF44</f>
        <v>0</v>
      </c>
      <c r="F122" s="211"/>
      <c r="G122" s="211">
        <f>Source!AE44</f>
        <v>0</v>
      </c>
      <c r="H122" s="211"/>
      <c r="I122" s="59"/>
      <c r="J122" s="60"/>
      <c r="K122" s="60"/>
      <c r="L122" s="61"/>
      <c r="M122" s="62">
        <f>Source!R44</f>
        <v>0</v>
      </c>
      <c r="N122" s="62"/>
      <c r="O122" s="62"/>
      <c r="P122" s="63">
        <f>Source!V44</f>
        <v>17.63152</v>
      </c>
      <c r="Q122" s="64"/>
    </row>
    <row r="123" spans="1:17" ht="15.75">
      <c r="A123" s="65"/>
      <c r="B123" s="66"/>
      <c r="C123" s="212" t="s">
        <v>514</v>
      </c>
      <c r="D123" s="212"/>
      <c r="E123" s="67">
        <f>Source!BA44</f>
        <v>4.94</v>
      </c>
      <c r="F123" s="68" t="s">
        <v>515</v>
      </c>
      <c r="G123" s="69">
        <f>Source!AF44</f>
        <v>0</v>
      </c>
      <c r="H123" s="68" t="s">
        <v>515</v>
      </c>
      <c r="I123" s="70">
        <f>Source!I44</f>
        <v>16.759999999999998</v>
      </c>
      <c r="J123" s="71" t="s">
        <v>516</v>
      </c>
      <c r="K123" s="72">
        <f>Source!S44</f>
        <v>0</v>
      </c>
      <c r="L123" s="73"/>
      <c r="M123" s="74"/>
      <c r="N123" s="75"/>
      <c r="O123" s="75"/>
      <c r="P123" s="76"/>
      <c r="Q123" s="77"/>
    </row>
    <row r="124" spans="1:17" ht="15.75">
      <c r="A124" s="65"/>
      <c r="B124" s="66"/>
      <c r="C124" s="213" t="s">
        <v>517</v>
      </c>
      <c r="D124" s="213"/>
      <c r="E124" s="67">
        <f>Source!BB44</f>
        <v>4.94</v>
      </c>
      <c r="F124" s="68" t="s">
        <v>515</v>
      </c>
      <c r="G124" s="69">
        <f>Source!AD44</f>
        <v>10.41</v>
      </c>
      <c r="H124" s="68" t="s">
        <v>515</v>
      </c>
      <c r="I124" s="70">
        <f>Source!I44</f>
        <v>16.759999999999998</v>
      </c>
      <c r="J124" s="71" t="s">
        <v>516</v>
      </c>
      <c r="K124" s="72">
        <f>Source!Q44</f>
        <v>861.89</v>
      </c>
      <c r="L124" s="73"/>
      <c r="M124" s="74"/>
      <c r="N124" s="74"/>
      <c r="O124" s="74"/>
      <c r="P124" s="78"/>
      <c r="Q124" s="79"/>
    </row>
    <row r="125" spans="1:17" ht="15.75">
      <c r="A125" s="65"/>
      <c r="B125" s="66"/>
      <c r="C125" s="213" t="s">
        <v>518</v>
      </c>
      <c r="D125" s="213"/>
      <c r="E125" s="67">
        <f>Source!BS44</f>
        <v>4.94</v>
      </c>
      <c r="F125" s="68" t="s">
        <v>515</v>
      </c>
      <c r="G125" s="69">
        <f>Source!AE44</f>
        <v>0</v>
      </c>
      <c r="H125" s="68" t="s">
        <v>515</v>
      </c>
      <c r="I125" s="70">
        <f>Source!I44</f>
        <v>16.759999999999998</v>
      </c>
      <c r="J125" s="71" t="s">
        <v>516</v>
      </c>
      <c r="K125" s="72">
        <f>Source!R44</f>
        <v>0</v>
      </c>
      <c r="L125" s="73"/>
      <c r="M125" s="74"/>
      <c r="N125" s="74"/>
      <c r="O125" s="74"/>
      <c r="P125" s="78"/>
      <c r="Q125" s="79"/>
    </row>
    <row r="126" spans="1:17" ht="15.75">
      <c r="A126" s="65"/>
      <c r="B126" s="66"/>
      <c r="C126" s="213" t="s">
        <v>519</v>
      </c>
      <c r="D126" s="213"/>
      <c r="E126" s="67">
        <f>Source!BC44</f>
        <v>4.94</v>
      </c>
      <c r="F126" s="68" t="s">
        <v>515</v>
      </c>
      <c r="G126" s="69">
        <f>Source!AC44</f>
        <v>0</v>
      </c>
      <c r="H126" s="68" t="s">
        <v>515</v>
      </c>
      <c r="I126" s="70">
        <f>Source!I44</f>
        <v>16.759999999999998</v>
      </c>
      <c r="J126" s="71" t="s">
        <v>516</v>
      </c>
      <c r="K126" s="72">
        <f>Source!P44</f>
        <v>0</v>
      </c>
      <c r="L126" s="73"/>
      <c r="M126" s="74"/>
      <c r="N126" s="74"/>
      <c r="O126" s="74"/>
      <c r="P126" s="80"/>
      <c r="Q126" s="79"/>
    </row>
    <row r="127" spans="1:17" ht="17.25">
      <c r="A127" s="81"/>
      <c r="B127" s="82"/>
      <c r="C127" s="214" t="s">
        <v>104</v>
      </c>
      <c r="D127" s="214"/>
      <c r="E127" s="214"/>
      <c r="F127" s="83"/>
      <c r="G127" s="215">
        <f>Source!AT44/100</f>
        <v>0</v>
      </c>
      <c r="H127" s="215"/>
      <c r="I127" s="216" t="s">
        <v>520</v>
      </c>
      <c r="J127" s="216"/>
      <c r="K127" s="58">
        <f>M127+M128</f>
        <v>0</v>
      </c>
      <c r="L127" s="84"/>
      <c r="M127" s="85">
        <f>Source!S44</f>
        <v>0</v>
      </c>
      <c r="N127" s="217">
        <f>Source!X44</f>
        <v>0</v>
      </c>
      <c r="O127" s="216"/>
      <c r="P127" s="218"/>
      <c r="Q127" s="86"/>
    </row>
    <row r="128" spans="1:17" ht="17.25">
      <c r="A128" s="87"/>
      <c r="B128" s="88"/>
      <c r="C128" s="214" t="s">
        <v>106</v>
      </c>
      <c r="D128" s="214"/>
      <c r="E128" s="214"/>
      <c r="F128" s="89"/>
      <c r="G128" s="215">
        <f>Source!AU44/100</f>
        <v>0</v>
      </c>
      <c r="H128" s="215"/>
      <c r="I128" s="216" t="s">
        <v>520</v>
      </c>
      <c r="J128" s="216"/>
      <c r="K128" s="58">
        <f>M127+M128</f>
        <v>0</v>
      </c>
      <c r="L128" s="84"/>
      <c r="M128" s="85">
        <f>Source!R44</f>
        <v>0</v>
      </c>
      <c r="N128" s="217">
        <f>Source!Y44</f>
        <v>0</v>
      </c>
      <c r="O128" s="216"/>
      <c r="P128" s="218"/>
      <c r="Q128" s="86"/>
    </row>
    <row r="129" spans="1:17" ht="15.75">
      <c r="A129" s="225" t="str">
        <f>Source!H64</f>
        <v>ФОТ рабочих-строителей</v>
      </c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7">
        <f>Source!F64</f>
        <v>6694.97</v>
      </c>
      <c r="O129" s="227"/>
      <c r="P129" s="228"/>
      <c r="Q129" s="110"/>
    </row>
    <row r="130" spans="1:17" ht="15.75">
      <c r="A130" s="225" t="str">
        <f>Source!H65</f>
        <v>ФОТ машинистов</v>
      </c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7">
        <f>Source!F65</f>
        <v>2344.97</v>
      </c>
      <c r="O130" s="227"/>
      <c r="P130" s="228"/>
      <c r="Q130" s="110"/>
    </row>
    <row r="131" spans="1:17" ht="15.75">
      <c r="A131" s="225" t="str">
        <f>Source!H68</f>
        <v>Эксплуатация машин и механизмов</v>
      </c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7">
        <f>Source!F68</f>
        <v>25192.86</v>
      </c>
      <c r="O131" s="227"/>
      <c r="P131" s="228"/>
      <c r="Q131" s="110"/>
    </row>
    <row r="132" spans="1:17" ht="15.75">
      <c r="A132" s="225" t="str">
        <f>Source!H69</f>
        <v>Итого перевозка</v>
      </c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7">
        <f>Source!F69</f>
        <v>1164.09</v>
      </c>
      <c r="O132" s="227"/>
      <c r="P132" s="228"/>
      <c r="Q132" s="110"/>
    </row>
    <row r="133" spans="1:17" ht="15.75">
      <c r="A133" s="225" t="str">
        <f>Source!H71</f>
        <v>Стоимость материалов</v>
      </c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7">
        <f>Source!F71</f>
        <v>290654.03</v>
      </c>
      <c r="O133" s="227"/>
      <c r="P133" s="228"/>
      <c r="Q133" s="110"/>
    </row>
    <row r="134" spans="1:17" ht="15.75">
      <c r="A134" s="225" t="str">
        <f>Source!H72</f>
        <v>Неучтенные материалы</v>
      </c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7">
        <f>Source!F72</f>
        <v>80819.02</v>
      </c>
      <c r="O134" s="227"/>
      <c r="P134" s="228"/>
      <c r="Q134" s="110"/>
    </row>
    <row r="135" spans="1:17" ht="15.75">
      <c r="A135" s="225" t="str">
        <f>Source!H73</f>
        <v>Итого накладные расходы</v>
      </c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7">
        <f>Source!F73</f>
        <v>12223.14</v>
      </c>
      <c r="O135" s="227"/>
      <c r="P135" s="228"/>
      <c r="Q135" s="110"/>
    </row>
    <row r="136" spans="1:17" ht="15.75">
      <c r="A136" s="225" t="str">
        <f>Source!H74</f>
        <v>Итого сметная прибыль</v>
      </c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7">
        <f>Source!F74</f>
        <v>6981.08</v>
      </c>
      <c r="O136" s="227"/>
      <c r="P136" s="228"/>
      <c r="Q136" s="110"/>
    </row>
    <row r="137" spans="1:17" ht="15.75">
      <c r="A137" s="225" t="str">
        <f>Source!H75</f>
        <v>Итого с накладными расходами и сметной прибылью</v>
      </c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7">
        <f>Source!F75</f>
        <v>423729.19</v>
      </c>
      <c r="O137" s="227"/>
      <c r="P137" s="228"/>
      <c r="Q137" s="110"/>
    </row>
    <row r="138" spans="1:17" ht="15.75">
      <c r="A138" s="225" t="str">
        <f>Source!H88</f>
        <v>НДС 18%</v>
      </c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7">
        <f>Source!F88</f>
        <v>76271.25</v>
      </c>
      <c r="O138" s="227"/>
      <c r="P138" s="228"/>
      <c r="Q138" s="110"/>
    </row>
    <row r="139" spans="1:17" ht="15.75">
      <c r="A139" s="225" t="str">
        <f>Source!H89</f>
        <v>Итого: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7">
        <f>Source!F89</f>
        <v>500000.44</v>
      </c>
      <c r="O139" s="227"/>
      <c r="P139" s="228"/>
      <c r="Q139" s="110"/>
    </row>
    <row r="140" spans="1:17" ht="15">
      <c r="A140" s="111"/>
      <c r="B140" s="112"/>
      <c r="C140" s="113"/>
      <c r="D140" s="114"/>
      <c r="E140" s="114"/>
      <c r="F140" s="114"/>
      <c r="G140" s="114"/>
      <c r="H140" s="114"/>
      <c r="I140" s="114"/>
      <c r="J140" s="115"/>
      <c r="K140" s="115"/>
      <c r="L140" s="115"/>
      <c r="M140" s="115"/>
      <c r="N140" s="115"/>
      <c r="O140" s="115"/>
      <c r="P140" s="116"/>
      <c r="Q140" s="117"/>
    </row>
    <row r="141" spans="1:17" ht="15">
      <c r="A141" s="118"/>
      <c r="B141" s="119"/>
      <c r="C141" s="120"/>
      <c r="D141" s="121"/>
      <c r="E141" s="121"/>
      <c r="F141" s="121"/>
      <c r="G141" s="121"/>
      <c r="H141" s="121"/>
      <c r="I141" s="121"/>
      <c r="J141" s="122"/>
      <c r="K141" s="122"/>
      <c r="L141" s="122"/>
      <c r="M141" s="122"/>
      <c r="N141" s="122"/>
      <c r="O141" s="122"/>
      <c r="P141" s="117"/>
      <c r="Q141" s="117"/>
    </row>
    <row r="142" spans="1:17" ht="15">
      <c r="A142" s="118"/>
      <c r="B142" s="119"/>
      <c r="C142" s="120"/>
      <c r="D142" s="121"/>
      <c r="E142" s="121"/>
      <c r="F142" s="121"/>
      <c r="G142" s="121"/>
      <c r="H142" s="121"/>
      <c r="I142" s="121"/>
      <c r="J142" s="122"/>
      <c r="K142" s="122"/>
      <c r="L142" s="122"/>
      <c r="M142" s="122"/>
      <c r="N142" s="122"/>
      <c r="O142" s="122"/>
      <c r="P142" s="117"/>
      <c r="Q142" s="117"/>
    </row>
    <row r="143" spans="1:17" ht="15">
      <c r="A143" s="118"/>
      <c r="B143" s="119"/>
      <c r="C143" s="120"/>
      <c r="D143" s="121"/>
      <c r="E143" s="121"/>
      <c r="F143" s="121"/>
      <c r="G143" s="121"/>
      <c r="H143" s="121"/>
      <c r="I143" s="121"/>
      <c r="J143" s="122"/>
      <c r="K143" s="122"/>
      <c r="L143" s="122"/>
      <c r="M143" s="122"/>
      <c r="N143" s="122"/>
      <c r="O143" s="122"/>
      <c r="P143" s="117"/>
      <c r="Q143" s="117"/>
    </row>
    <row r="144" spans="1:17" ht="15">
      <c r="A144" s="123"/>
      <c r="B144" s="124" t="s">
        <v>521</v>
      </c>
      <c r="C144" s="229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</row>
    <row r="145" spans="1:17" ht="15">
      <c r="A145" s="123"/>
      <c r="B145" s="117"/>
      <c r="C145" s="124"/>
      <c r="D145" s="231" t="s">
        <v>522</v>
      </c>
      <c r="E145" s="231"/>
      <c r="F145" s="231"/>
      <c r="G145" s="231"/>
      <c r="H145" s="231"/>
      <c r="I145" s="231"/>
      <c r="J145" s="231"/>
      <c r="K145" s="231"/>
      <c r="L145" s="231"/>
      <c r="M145" s="121"/>
      <c r="N145" s="121"/>
      <c r="O145" s="121"/>
      <c r="P145" s="121"/>
      <c r="Q145" s="121"/>
    </row>
    <row r="146" spans="1:17" ht="15">
      <c r="A146" s="123"/>
      <c r="B146" s="117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1"/>
      <c r="N146" s="121"/>
      <c r="O146" s="121"/>
      <c r="P146" s="121"/>
      <c r="Q146" s="121"/>
    </row>
    <row r="147" spans="1:17" ht="15">
      <c r="A147" s="126"/>
      <c r="B147" s="124" t="s">
        <v>523</v>
      </c>
      <c r="C147" s="229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</row>
    <row r="148" spans="1:17" ht="15">
      <c r="A148" s="123"/>
      <c r="B148" s="121"/>
      <c r="C148" s="121"/>
      <c r="D148" s="231" t="s">
        <v>522</v>
      </c>
      <c r="E148" s="231"/>
      <c r="F148" s="231"/>
      <c r="G148" s="231"/>
      <c r="H148" s="231"/>
      <c r="I148" s="231"/>
      <c r="J148" s="231"/>
      <c r="K148" s="231"/>
      <c r="L148" s="231"/>
      <c r="M148" s="127"/>
      <c r="N148" s="127"/>
      <c r="O148" s="127"/>
      <c r="P148" s="127"/>
      <c r="Q148" s="127"/>
    </row>
  </sheetData>
  <mergeCells count="289">
    <mergeCell ref="C147:Q147"/>
    <mergeCell ref="D148:L148"/>
    <mergeCell ref="A139:M139"/>
    <mergeCell ref="N139:P139"/>
    <mergeCell ref="C144:Q144"/>
    <mergeCell ref="D145:L145"/>
    <mergeCell ref="A137:M137"/>
    <mergeCell ref="N137:P137"/>
    <mergeCell ref="A138:M138"/>
    <mergeCell ref="N138:P138"/>
    <mergeCell ref="A135:M135"/>
    <mergeCell ref="N135:P135"/>
    <mergeCell ref="A136:M136"/>
    <mergeCell ref="N136:P136"/>
    <mergeCell ref="A133:M133"/>
    <mergeCell ref="N133:P133"/>
    <mergeCell ref="A134:M134"/>
    <mergeCell ref="N134:P134"/>
    <mergeCell ref="A131:M131"/>
    <mergeCell ref="N131:P131"/>
    <mergeCell ref="A132:M132"/>
    <mergeCell ref="N132:P132"/>
    <mergeCell ref="A129:M129"/>
    <mergeCell ref="N129:P129"/>
    <mergeCell ref="A130:M130"/>
    <mergeCell ref="N130:P130"/>
    <mergeCell ref="C128:E128"/>
    <mergeCell ref="G128:H128"/>
    <mergeCell ref="I128:J128"/>
    <mergeCell ref="N128:P128"/>
    <mergeCell ref="C127:E127"/>
    <mergeCell ref="G127:H127"/>
    <mergeCell ref="I127:J127"/>
    <mergeCell ref="N127:P127"/>
    <mergeCell ref="C123:D123"/>
    <mergeCell ref="C124:D124"/>
    <mergeCell ref="C125:D125"/>
    <mergeCell ref="C126:D126"/>
    <mergeCell ref="E121:F121"/>
    <mergeCell ref="G121:H121"/>
    <mergeCell ref="J121:K121"/>
    <mergeCell ref="E122:F122"/>
    <mergeCell ref="G122:H122"/>
    <mergeCell ref="C120:E120"/>
    <mergeCell ref="G120:H120"/>
    <mergeCell ref="I120:J120"/>
    <mergeCell ref="N120:P120"/>
    <mergeCell ref="C119:E119"/>
    <mergeCell ref="G119:H119"/>
    <mergeCell ref="I119:J119"/>
    <mergeCell ref="N119:P119"/>
    <mergeCell ref="C115:D115"/>
    <mergeCell ref="C116:D116"/>
    <mergeCell ref="C117:D117"/>
    <mergeCell ref="C118:D118"/>
    <mergeCell ref="E113:F113"/>
    <mergeCell ref="G113:H113"/>
    <mergeCell ref="J113:K113"/>
    <mergeCell ref="E114:F114"/>
    <mergeCell ref="G114:H114"/>
    <mergeCell ref="D111:D112"/>
    <mergeCell ref="E111:F111"/>
    <mergeCell ref="J111:K111"/>
    <mergeCell ref="E112:F112"/>
    <mergeCell ref="J112:K112"/>
    <mergeCell ref="D109:D110"/>
    <mergeCell ref="E109:F109"/>
    <mergeCell ref="J109:K109"/>
    <mergeCell ref="E110:F110"/>
    <mergeCell ref="J110:K110"/>
    <mergeCell ref="C108:E108"/>
    <mergeCell ref="G108:H108"/>
    <mergeCell ref="I108:J108"/>
    <mergeCell ref="N108:P108"/>
    <mergeCell ref="C107:E107"/>
    <mergeCell ref="G107:H107"/>
    <mergeCell ref="I107:J107"/>
    <mergeCell ref="N107:P107"/>
    <mergeCell ref="C103:D103"/>
    <mergeCell ref="C104:D104"/>
    <mergeCell ref="C105:D105"/>
    <mergeCell ref="C106:D106"/>
    <mergeCell ref="E101:F101"/>
    <mergeCell ref="G101:H101"/>
    <mergeCell ref="J101:K101"/>
    <mergeCell ref="E102:F102"/>
    <mergeCell ref="G102:H102"/>
    <mergeCell ref="D99:D100"/>
    <mergeCell ref="E99:F99"/>
    <mergeCell ref="J99:K99"/>
    <mergeCell ref="E100:F100"/>
    <mergeCell ref="J100:K100"/>
    <mergeCell ref="D97:D98"/>
    <mergeCell ref="E97:F97"/>
    <mergeCell ref="J97:K97"/>
    <mergeCell ref="E98:F98"/>
    <mergeCell ref="J98:K98"/>
    <mergeCell ref="C96:E96"/>
    <mergeCell ref="G96:H96"/>
    <mergeCell ref="I96:J96"/>
    <mergeCell ref="N96:P96"/>
    <mergeCell ref="C95:E95"/>
    <mergeCell ref="G95:H95"/>
    <mergeCell ref="I95:J95"/>
    <mergeCell ref="N95:P95"/>
    <mergeCell ref="C91:D91"/>
    <mergeCell ref="C92:D92"/>
    <mergeCell ref="C93:D93"/>
    <mergeCell ref="C94:D94"/>
    <mergeCell ref="E89:F89"/>
    <mergeCell ref="G89:H89"/>
    <mergeCell ref="J89:K89"/>
    <mergeCell ref="E90:F90"/>
    <mergeCell ref="G90:H90"/>
    <mergeCell ref="D87:D88"/>
    <mergeCell ref="E87:F87"/>
    <mergeCell ref="J87:K87"/>
    <mergeCell ref="E88:F88"/>
    <mergeCell ref="J88:K88"/>
    <mergeCell ref="D85:D86"/>
    <mergeCell ref="E85:F85"/>
    <mergeCell ref="J85:K85"/>
    <mergeCell ref="E86:F86"/>
    <mergeCell ref="J86:K86"/>
    <mergeCell ref="C84:E84"/>
    <mergeCell ref="G84:H84"/>
    <mergeCell ref="I84:J84"/>
    <mergeCell ref="N84:P84"/>
    <mergeCell ref="C83:E83"/>
    <mergeCell ref="G83:H83"/>
    <mergeCell ref="I83:J83"/>
    <mergeCell ref="N83:P83"/>
    <mergeCell ref="C79:D79"/>
    <mergeCell ref="C80:D80"/>
    <mergeCell ref="C81:D81"/>
    <mergeCell ref="C82:D82"/>
    <mergeCell ref="E77:F77"/>
    <mergeCell ref="G77:H77"/>
    <mergeCell ref="J77:K77"/>
    <mergeCell ref="E78:F78"/>
    <mergeCell ref="G78:H78"/>
    <mergeCell ref="C76:E76"/>
    <mergeCell ref="G76:H76"/>
    <mergeCell ref="I76:J76"/>
    <mergeCell ref="N76:P76"/>
    <mergeCell ref="C75:E75"/>
    <mergeCell ref="G75:H75"/>
    <mergeCell ref="I75:J75"/>
    <mergeCell ref="N75:P75"/>
    <mergeCell ref="C71:D71"/>
    <mergeCell ref="C72:D72"/>
    <mergeCell ref="C73:D73"/>
    <mergeCell ref="C74:D74"/>
    <mergeCell ref="E69:F69"/>
    <mergeCell ref="G69:H69"/>
    <mergeCell ref="J69:K69"/>
    <mergeCell ref="E70:F70"/>
    <mergeCell ref="G70:H70"/>
    <mergeCell ref="C68:E68"/>
    <mergeCell ref="G68:H68"/>
    <mergeCell ref="I68:J68"/>
    <mergeCell ref="N68:P68"/>
    <mergeCell ref="C67:E67"/>
    <mergeCell ref="G67:H67"/>
    <mergeCell ref="I67:J67"/>
    <mergeCell ref="N67:P67"/>
    <mergeCell ref="C63:D63"/>
    <mergeCell ref="C64:D64"/>
    <mergeCell ref="C65:D65"/>
    <mergeCell ref="C66:D66"/>
    <mergeCell ref="E61:F61"/>
    <mergeCell ref="G61:H61"/>
    <mergeCell ref="J61:K61"/>
    <mergeCell ref="E62:F62"/>
    <mergeCell ref="G62:H62"/>
    <mergeCell ref="D59:D60"/>
    <mergeCell ref="E59:F59"/>
    <mergeCell ref="J59:K59"/>
    <mergeCell ref="E60:F60"/>
    <mergeCell ref="J60:K60"/>
    <mergeCell ref="D57:D58"/>
    <mergeCell ref="E57:F57"/>
    <mergeCell ref="J57:K57"/>
    <mergeCell ref="E58:F58"/>
    <mergeCell ref="J58:K58"/>
    <mergeCell ref="C56:E56"/>
    <mergeCell ref="G56:H56"/>
    <mergeCell ref="I56:J56"/>
    <mergeCell ref="N56:P56"/>
    <mergeCell ref="C55:E55"/>
    <mergeCell ref="G55:H55"/>
    <mergeCell ref="I55:J55"/>
    <mergeCell ref="N55:P55"/>
    <mergeCell ref="C51:D51"/>
    <mergeCell ref="C52:D52"/>
    <mergeCell ref="C53:D53"/>
    <mergeCell ref="C54:D54"/>
    <mergeCell ref="E49:F49"/>
    <mergeCell ref="G49:H49"/>
    <mergeCell ref="J49:K49"/>
    <mergeCell ref="E50:F50"/>
    <mergeCell ref="G50:H50"/>
    <mergeCell ref="D47:D48"/>
    <mergeCell ref="E47:F47"/>
    <mergeCell ref="J47:K47"/>
    <mergeCell ref="E48:F48"/>
    <mergeCell ref="J48:K48"/>
    <mergeCell ref="D45:D46"/>
    <mergeCell ref="E45:F45"/>
    <mergeCell ref="J45:K45"/>
    <mergeCell ref="E46:F46"/>
    <mergeCell ref="J46:K46"/>
    <mergeCell ref="C44:E44"/>
    <mergeCell ref="G44:H44"/>
    <mergeCell ref="I44:J44"/>
    <mergeCell ref="N44:P44"/>
    <mergeCell ref="C43:E43"/>
    <mergeCell ref="G43:H43"/>
    <mergeCell ref="I43:J43"/>
    <mergeCell ref="N43:P43"/>
    <mergeCell ref="C39:D39"/>
    <mergeCell ref="C40:D40"/>
    <mergeCell ref="C41:D41"/>
    <mergeCell ref="C42:D42"/>
    <mergeCell ref="E37:F37"/>
    <mergeCell ref="G37:H37"/>
    <mergeCell ref="J37:K37"/>
    <mergeCell ref="E38:F38"/>
    <mergeCell ref="G38:H38"/>
    <mergeCell ref="D35:D36"/>
    <mergeCell ref="E35:F35"/>
    <mergeCell ref="J35:K35"/>
    <mergeCell ref="E36:F36"/>
    <mergeCell ref="J36:K36"/>
    <mergeCell ref="C34:E34"/>
    <mergeCell ref="G34:H34"/>
    <mergeCell ref="I34:J34"/>
    <mergeCell ref="N34:P34"/>
    <mergeCell ref="C33:E33"/>
    <mergeCell ref="G33:H33"/>
    <mergeCell ref="I33:J33"/>
    <mergeCell ref="N33:P33"/>
    <mergeCell ref="C29:D29"/>
    <mergeCell ref="C30:D30"/>
    <mergeCell ref="C31:D31"/>
    <mergeCell ref="C32:D32"/>
    <mergeCell ref="E27:F27"/>
    <mergeCell ref="G27:H27"/>
    <mergeCell ref="J27:K27"/>
    <mergeCell ref="E28:F28"/>
    <mergeCell ref="G28:H28"/>
    <mergeCell ref="O23:P23"/>
    <mergeCell ref="O24:P25"/>
    <mergeCell ref="E26:F26"/>
    <mergeCell ref="G26:H26"/>
    <mergeCell ref="J26:K26"/>
    <mergeCell ref="O26:Q26"/>
    <mergeCell ref="O18:P22"/>
    <mergeCell ref="E20:F21"/>
    <mergeCell ref="G20:H21"/>
    <mergeCell ref="I20:I25"/>
    <mergeCell ref="J20:K25"/>
    <mergeCell ref="L20:L25"/>
    <mergeCell ref="M20:M21"/>
    <mergeCell ref="N20:N25"/>
    <mergeCell ref="E22:F25"/>
    <mergeCell ref="G22:H25"/>
    <mergeCell ref="B17:L17"/>
    <mergeCell ref="A18:A25"/>
    <mergeCell ref="B18:B25"/>
    <mergeCell ref="C18:C25"/>
    <mergeCell ref="D18:D25"/>
    <mergeCell ref="E18:I19"/>
    <mergeCell ref="J18:N19"/>
    <mergeCell ref="M22:M25"/>
    <mergeCell ref="A11:Q11"/>
    <mergeCell ref="A13:Q13"/>
    <mergeCell ref="B14:P14"/>
    <mergeCell ref="B16:G16"/>
    <mergeCell ref="B5:C5"/>
    <mergeCell ref="J5:Q5"/>
    <mergeCell ref="N3:P3"/>
    <mergeCell ref="G9:L9"/>
    <mergeCell ref="M9:O9"/>
    <mergeCell ref="P9:Q9"/>
    <mergeCell ref="B1:C1"/>
    <mergeCell ref="J1:Q1"/>
    <mergeCell ref="A2:C2"/>
    <mergeCell ref="J2:P2"/>
  </mergeCells>
  <printOptions/>
  <pageMargins left="0.38" right="0.11" top="0.5511811023622047" bottom="0.5905511811023623" header="0.2362204724409449" footer="0.2362204724409449"/>
  <pageSetup horizontalDpi="1200" verticalDpi="1200" orientation="portrait" paperSize="9" scale="62" r:id="rId1"/>
  <headerFooter alignWithMargins="0">
    <oddHeader>&amp;L&amp;"Arial Cyr,полужирный"&amp;6Программа SMETA.RU (8312)33-47-58</oddHeader>
    <oddFooter>&amp;R&amp;P</oddFooter>
  </headerFooter>
  <rowBreaks count="1" manualBreakCount="1"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G164"/>
  <sheetViews>
    <sheetView view="pageBreakPreview" zoomScale="60" workbookViewId="0" topLeftCell="A106">
      <selection activeCell="W143" sqref="W143"/>
    </sheetView>
  </sheetViews>
  <sheetFormatPr defaultColWidth="9.140625" defaultRowHeight="12.75"/>
  <cols>
    <col min="1" max="1" width="5.00390625" style="4" customWidth="1"/>
    <col min="2" max="2" width="17.57421875" style="4" customWidth="1"/>
    <col min="3" max="3" width="31.57421875" style="4" customWidth="1"/>
    <col min="4" max="4" width="8.421875" style="4" customWidth="1"/>
    <col min="5" max="5" width="10.421875" style="4" customWidth="1"/>
    <col min="6" max="6" width="1.57421875" style="4" customWidth="1"/>
    <col min="7" max="7" width="10.57421875" style="4" customWidth="1"/>
    <col min="8" max="8" width="2.28125" style="4" customWidth="1"/>
    <col min="9" max="9" width="10.57421875" style="4" customWidth="1"/>
    <col min="10" max="10" width="2.421875" style="4" customWidth="1"/>
    <col min="11" max="11" width="13.57421875" style="4" customWidth="1"/>
    <col min="12" max="12" width="13.140625" style="4" customWidth="1"/>
    <col min="13" max="14" width="10.140625" style="4" customWidth="1"/>
    <col min="15" max="15" width="1.421875" style="4" customWidth="1"/>
    <col min="16" max="16" width="11.57421875" style="4" customWidth="1"/>
    <col min="17" max="17" width="0" style="4" hidden="1" customWidth="1"/>
    <col min="18" max="16384" width="8.00390625" style="4" customWidth="1"/>
  </cols>
  <sheetData>
    <row r="1" spans="1:17" ht="16.5">
      <c r="A1" s="5"/>
      <c r="B1" s="9"/>
      <c r="C1" s="9"/>
      <c r="D1" s="7"/>
      <c r="E1" s="7"/>
      <c r="F1" s="7"/>
      <c r="G1" s="7"/>
      <c r="H1" s="7"/>
      <c r="I1" s="7"/>
      <c r="J1" s="9"/>
      <c r="K1" s="9"/>
      <c r="L1" s="9"/>
      <c r="M1" s="9"/>
      <c r="N1" s="9"/>
      <c r="O1" s="9"/>
      <c r="P1" s="9"/>
      <c r="Q1" s="9"/>
    </row>
    <row r="2" spans="1:17" ht="16.5">
      <c r="A2" s="128"/>
      <c r="B2" s="128"/>
      <c r="C2" s="128"/>
      <c r="D2" s="128"/>
      <c r="E2" s="7"/>
      <c r="F2" s="7"/>
      <c r="G2" s="9"/>
      <c r="H2" s="9"/>
      <c r="I2" s="9"/>
      <c r="J2" s="128"/>
      <c r="K2" s="279" t="s">
        <v>446</v>
      </c>
      <c r="L2" s="279"/>
      <c r="M2" s="279"/>
      <c r="N2" s="279"/>
      <c r="O2" s="279"/>
      <c r="P2" s="279"/>
      <c r="Q2" s="128"/>
    </row>
    <row r="3" spans="1:17" ht="16.5">
      <c r="A3" s="130"/>
      <c r="B3" s="13"/>
      <c r="C3" s="8"/>
      <c r="D3" s="13"/>
      <c r="E3" s="7"/>
      <c r="F3" s="7"/>
      <c r="G3" s="7"/>
      <c r="H3" s="7"/>
      <c r="I3" s="7"/>
      <c r="J3" s="13"/>
      <c r="K3" s="279" t="s">
        <v>447</v>
      </c>
      <c r="L3" s="279"/>
      <c r="M3" s="279"/>
      <c r="N3" s="279"/>
      <c r="O3" s="279"/>
      <c r="P3" s="279"/>
      <c r="Q3" s="128"/>
    </row>
    <row r="4" spans="1:17" ht="16.5">
      <c r="A4" s="14"/>
      <c r="B4" s="15"/>
      <c r="C4" s="16"/>
      <c r="D4" s="16"/>
      <c r="E4" s="16"/>
      <c r="F4" s="16"/>
      <c r="G4" s="16"/>
      <c r="H4" s="16"/>
      <c r="I4" s="16"/>
      <c r="J4" s="16"/>
      <c r="K4" s="279" t="s">
        <v>448</v>
      </c>
      <c r="L4" s="279"/>
      <c r="M4" s="279"/>
      <c r="N4" s="279"/>
      <c r="O4" s="279"/>
      <c r="P4" s="279"/>
      <c r="Q4" s="17"/>
    </row>
    <row r="5" spans="1:17" ht="17.25" thickBot="1">
      <c r="A5" s="14"/>
      <c r="B5" s="15"/>
      <c r="C5" s="16"/>
      <c r="D5" s="16"/>
      <c r="E5" s="16"/>
      <c r="F5" s="16"/>
      <c r="G5" s="16"/>
      <c r="H5" s="16"/>
      <c r="I5" s="16"/>
      <c r="J5" s="16"/>
      <c r="K5" s="129"/>
      <c r="L5" s="129"/>
      <c r="M5" s="129"/>
      <c r="N5" s="129"/>
      <c r="O5" s="129"/>
      <c r="P5" s="129"/>
      <c r="Q5" s="17"/>
    </row>
    <row r="6" spans="1:17" ht="16.5">
      <c r="A6" s="14"/>
      <c r="B6" s="15"/>
      <c r="C6" s="16"/>
      <c r="D6" s="16"/>
      <c r="E6" s="16"/>
      <c r="F6" s="16"/>
      <c r="G6" s="16"/>
      <c r="H6" s="16"/>
      <c r="I6" s="16"/>
      <c r="J6" s="16"/>
      <c r="K6" s="129"/>
      <c r="L6" s="129"/>
      <c r="M6" s="129"/>
      <c r="N6" s="288" t="s">
        <v>449</v>
      </c>
      <c r="O6" s="289"/>
      <c r="P6" s="290"/>
      <c r="Q6" s="17"/>
    </row>
    <row r="7" spans="1:17" ht="16.5">
      <c r="A7" s="14"/>
      <c r="B7" s="15"/>
      <c r="C7" s="16"/>
      <c r="D7" s="16"/>
      <c r="E7" s="16"/>
      <c r="F7" s="16"/>
      <c r="G7" s="16"/>
      <c r="H7" s="16"/>
      <c r="I7" s="16"/>
      <c r="J7" s="16"/>
      <c r="K7" s="129"/>
      <c r="L7" s="279" t="s">
        <v>450</v>
      </c>
      <c r="M7" s="280"/>
      <c r="N7" s="281" t="s">
        <v>451</v>
      </c>
      <c r="O7" s="282"/>
      <c r="P7" s="283"/>
      <c r="Q7" s="17"/>
    </row>
    <row r="8" spans="1:17" ht="16.5">
      <c r="A8" s="14"/>
      <c r="B8" s="15" t="s">
        <v>452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129" t="s">
        <v>453</v>
      </c>
      <c r="N8" s="285"/>
      <c r="O8" s="286"/>
      <c r="P8" s="287"/>
      <c r="Q8" s="17"/>
    </row>
    <row r="9" spans="1:17" ht="16.5">
      <c r="A9" s="14"/>
      <c r="B9" s="15"/>
      <c r="C9" s="262" t="s">
        <v>454</v>
      </c>
      <c r="D9" s="262"/>
      <c r="E9" s="262"/>
      <c r="F9" s="262"/>
      <c r="G9" s="262"/>
      <c r="H9" s="262"/>
      <c r="I9" s="262"/>
      <c r="J9" s="262"/>
      <c r="K9" s="262"/>
      <c r="L9" s="262"/>
      <c r="M9" s="129"/>
      <c r="N9" s="273"/>
      <c r="O9" s="274"/>
      <c r="P9" s="275"/>
      <c r="Q9" s="17"/>
    </row>
    <row r="10" spans="1:17" ht="17.25">
      <c r="A10" s="14"/>
      <c r="B10" s="15" t="s">
        <v>455</v>
      </c>
      <c r="C10" s="276" t="s">
        <v>480</v>
      </c>
      <c r="D10" s="276"/>
      <c r="E10" s="276"/>
      <c r="F10" s="276"/>
      <c r="G10" s="276"/>
      <c r="H10" s="276"/>
      <c r="I10" s="276"/>
      <c r="J10" s="276"/>
      <c r="K10" s="276"/>
      <c r="L10" s="276"/>
      <c r="M10" s="129" t="s">
        <v>453</v>
      </c>
      <c r="N10" s="277"/>
      <c r="O10" s="234"/>
      <c r="P10" s="278"/>
      <c r="Q10" s="17"/>
    </row>
    <row r="11" spans="1:17" ht="16.5">
      <c r="A11" s="14"/>
      <c r="B11" s="15"/>
      <c r="C11" s="262" t="s">
        <v>454</v>
      </c>
      <c r="D11" s="262"/>
      <c r="E11" s="262"/>
      <c r="F11" s="262"/>
      <c r="G11" s="262"/>
      <c r="H11" s="262"/>
      <c r="I11" s="262"/>
      <c r="J11" s="262"/>
      <c r="K11" s="262"/>
      <c r="L11" s="262"/>
      <c r="M11" s="129"/>
      <c r="N11" s="273"/>
      <c r="O11" s="274"/>
      <c r="P11" s="275"/>
      <c r="Q11" s="17"/>
    </row>
    <row r="12" spans="1:17" ht="17.25">
      <c r="A12" s="14"/>
      <c r="B12" s="15" t="s">
        <v>456</v>
      </c>
      <c r="C12" s="276" t="s">
        <v>481</v>
      </c>
      <c r="D12" s="276"/>
      <c r="E12" s="276"/>
      <c r="F12" s="276"/>
      <c r="G12" s="276"/>
      <c r="H12" s="276"/>
      <c r="I12" s="276"/>
      <c r="J12" s="276"/>
      <c r="K12" s="276"/>
      <c r="L12" s="276"/>
      <c r="M12" s="129" t="s">
        <v>453</v>
      </c>
      <c r="N12" s="277"/>
      <c r="O12" s="234"/>
      <c r="P12" s="278"/>
      <c r="Q12" s="17"/>
    </row>
    <row r="13" spans="1:17" ht="16.5">
      <c r="A13" s="14"/>
      <c r="B13" s="9"/>
      <c r="C13" s="262" t="s">
        <v>454</v>
      </c>
      <c r="D13" s="262"/>
      <c r="E13" s="262"/>
      <c r="F13" s="262"/>
      <c r="G13" s="262"/>
      <c r="H13" s="262"/>
      <c r="I13" s="262"/>
      <c r="J13" s="262"/>
      <c r="K13" s="262"/>
      <c r="L13" s="262"/>
      <c r="M13" s="19"/>
      <c r="N13" s="270"/>
      <c r="O13" s="271"/>
      <c r="P13" s="272"/>
      <c r="Q13" s="9"/>
    </row>
    <row r="14" spans="1:17" ht="47.25" customHeight="1">
      <c r="A14" s="14"/>
      <c r="B14" s="15" t="s">
        <v>457</v>
      </c>
      <c r="C14" s="266" t="s">
        <v>482</v>
      </c>
      <c r="D14" s="266"/>
      <c r="E14" s="266"/>
      <c r="F14" s="266"/>
      <c r="G14" s="266"/>
      <c r="H14" s="266"/>
      <c r="I14" s="266"/>
      <c r="J14" s="266"/>
      <c r="K14" s="266"/>
      <c r="L14" s="266"/>
      <c r="M14" s="15"/>
      <c r="N14" s="267"/>
      <c r="O14" s="268"/>
      <c r="P14" s="269"/>
      <c r="Q14" s="7"/>
    </row>
    <row r="15" spans="1:17" ht="16.5">
      <c r="A15" s="14"/>
      <c r="B15" s="15"/>
      <c r="C15" s="262" t="s">
        <v>458</v>
      </c>
      <c r="D15" s="262"/>
      <c r="E15" s="262"/>
      <c r="F15" s="262"/>
      <c r="G15" s="262"/>
      <c r="H15" s="262"/>
      <c r="I15" s="262"/>
      <c r="J15" s="262"/>
      <c r="K15" s="262"/>
      <c r="L15" s="262"/>
      <c r="M15" s="15"/>
      <c r="N15" s="263"/>
      <c r="O15" s="264"/>
      <c r="P15" s="265"/>
      <c r="Q15" s="7"/>
    </row>
    <row r="16" spans="1:17" ht="21" customHeight="1">
      <c r="A16" s="14"/>
      <c r="B16" s="15" t="s">
        <v>459</v>
      </c>
      <c r="C16" s="266" t="s">
        <v>485</v>
      </c>
      <c r="D16" s="266"/>
      <c r="E16" s="266"/>
      <c r="F16" s="266"/>
      <c r="G16" s="266"/>
      <c r="H16" s="266"/>
      <c r="I16" s="266"/>
      <c r="J16" s="266"/>
      <c r="K16" s="266"/>
      <c r="L16" s="266"/>
      <c r="M16" s="15"/>
      <c r="N16" s="267"/>
      <c r="O16" s="268"/>
      <c r="P16" s="269"/>
      <c r="Q16" s="7"/>
    </row>
    <row r="17" spans="1:17" ht="16.5">
      <c r="A17" s="14"/>
      <c r="B17" s="15"/>
      <c r="C17" s="257" t="s">
        <v>460</v>
      </c>
      <c r="D17" s="257"/>
      <c r="E17" s="257"/>
      <c r="F17" s="257"/>
      <c r="G17" s="257"/>
      <c r="H17" s="257"/>
      <c r="I17" s="257"/>
      <c r="J17" s="257"/>
      <c r="K17" s="257"/>
      <c r="L17" s="257"/>
      <c r="M17" s="19"/>
      <c r="N17" s="258"/>
      <c r="O17" s="259"/>
      <c r="P17" s="260"/>
      <c r="Q17" s="7"/>
    </row>
    <row r="18" spans="1:17" ht="16.5">
      <c r="A18" s="20"/>
      <c r="B18" s="20"/>
      <c r="C18" s="21"/>
      <c r="D18" s="21"/>
      <c r="E18" s="21"/>
      <c r="F18" s="21"/>
      <c r="G18" s="21"/>
      <c r="H18" s="21"/>
      <c r="I18" s="249" t="s">
        <v>461</v>
      </c>
      <c r="J18" s="249"/>
      <c r="K18" s="249"/>
      <c r="L18" s="249"/>
      <c r="M18" s="261"/>
      <c r="N18" s="242"/>
      <c r="O18" s="243"/>
      <c r="P18" s="244"/>
      <c r="Q18" s="21"/>
    </row>
    <row r="19" spans="1:17" ht="16.5">
      <c r="A19" s="20"/>
      <c r="B19" s="20"/>
      <c r="C19" s="21"/>
      <c r="D19" s="21"/>
      <c r="E19" s="21"/>
      <c r="F19" s="21"/>
      <c r="G19" s="249" t="s">
        <v>462</v>
      </c>
      <c r="H19" s="249"/>
      <c r="I19" s="249"/>
      <c r="J19" s="249"/>
      <c r="K19" s="250"/>
      <c r="L19" s="251" t="s">
        <v>463</v>
      </c>
      <c r="M19" s="252"/>
      <c r="N19" s="253" t="s">
        <v>483</v>
      </c>
      <c r="O19" s="253"/>
      <c r="P19" s="254"/>
      <c r="Q19" s="21"/>
    </row>
    <row r="20" spans="1:17" ht="16.5">
      <c r="A20" s="20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55" t="s">
        <v>464</v>
      </c>
      <c r="M20" s="256"/>
      <c r="N20" s="243" t="s">
        <v>484</v>
      </c>
      <c r="O20" s="243"/>
      <c r="P20" s="244"/>
      <c r="Q20" s="21"/>
    </row>
    <row r="21" spans="1:17" ht="16.5">
      <c r="A21" s="20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40" t="s">
        <v>465</v>
      </c>
      <c r="M21" s="241"/>
      <c r="N21" s="242"/>
      <c r="O21" s="243"/>
      <c r="P21" s="244"/>
      <c r="Q21" s="21"/>
    </row>
    <row r="22" spans="1:17" ht="17.25" thickBot="1">
      <c r="A22" s="20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45"/>
      <c r="O22" s="246"/>
      <c r="P22" s="247"/>
      <c r="Q22" s="21"/>
    </row>
    <row r="23" spans="1:17" ht="16.5">
      <c r="A23" s="20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32"/>
      <c r="O23" s="132"/>
      <c r="P23" s="132"/>
      <c r="Q23" s="21"/>
    </row>
    <row r="24" spans="1:17" ht="16.5">
      <c r="A24" s="20"/>
      <c r="B24" s="20"/>
      <c r="C24" s="21"/>
      <c r="D24" s="21"/>
      <c r="E24" s="21"/>
      <c r="F24" s="21"/>
      <c r="G24" s="21"/>
      <c r="H24" s="21"/>
      <c r="I24" s="21"/>
      <c r="J24" s="21"/>
      <c r="K24" s="248" t="s">
        <v>466</v>
      </c>
      <c r="L24" s="248" t="s">
        <v>467</v>
      </c>
      <c r="M24" s="29"/>
      <c r="N24" s="248" t="s">
        <v>468</v>
      </c>
      <c r="O24" s="248"/>
      <c r="P24" s="248"/>
      <c r="Q24" s="21"/>
    </row>
    <row r="25" spans="1:17" ht="16.5">
      <c r="A25" s="20"/>
      <c r="B25" s="20"/>
      <c r="C25" s="21"/>
      <c r="D25" s="21"/>
      <c r="E25" s="21"/>
      <c r="F25" s="21"/>
      <c r="G25" s="21"/>
      <c r="H25" s="21"/>
      <c r="I25" s="21"/>
      <c r="J25" s="21"/>
      <c r="K25" s="248"/>
      <c r="L25" s="248"/>
      <c r="M25" s="29"/>
      <c r="N25" s="248" t="s">
        <v>469</v>
      </c>
      <c r="O25" s="248"/>
      <c r="P25" s="133" t="s">
        <v>470</v>
      </c>
      <c r="Q25" s="21"/>
    </row>
    <row r="26" spans="1:17" ht="16.5">
      <c r="A26" s="20"/>
      <c r="B26" s="20"/>
      <c r="C26" s="21"/>
      <c r="D26" s="21"/>
      <c r="E26" s="21"/>
      <c r="F26" s="21"/>
      <c r="G26" s="21"/>
      <c r="H26" s="21"/>
      <c r="I26" s="21"/>
      <c r="J26" s="21"/>
      <c r="K26" s="133"/>
      <c r="L26" s="137"/>
      <c r="M26" s="29"/>
      <c r="N26" s="236"/>
      <c r="O26" s="236"/>
      <c r="P26" s="134"/>
      <c r="Q26" s="21"/>
    </row>
    <row r="27" spans="1:17" ht="20.25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</row>
    <row r="28" spans="1:17" ht="18.75">
      <c r="A28" s="22"/>
      <c r="B28" s="22"/>
      <c r="C28" s="23"/>
      <c r="D28" s="24"/>
      <c r="E28" s="25"/>
      <c r="F28" s="25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ht="18.75">
      <c r="A29" s="237" t="s">
        <v>471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</row>
    <row r="30" spans="1:17" ht="18.75">
      <c r="A30" s="238" t="s">
        <v>472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6"/>
    </row>
    <row r="31" spans="1:17" ht="30.75" customHeight="1">
      <c r="A31" s="239" t="str">
        <f>Source!G20</f>
        <v>Капитальный ремонт и ремонт дворовых территорий многоквартирных домов, проездов к дворовым территориям многоквартирных домов - ул. Колесанова, д. 4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"/>
    </row>
    <row r="32" spans="1:17" ht="15.75">
      <c r="A32" s="30"/>
      <c r="B32" s="1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3"/>
    </row>
    <row r="33" spans="1:17" ht="15.75">
      <c r="A33" s="31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32"/>
      <c r="N33" s="32"/>
      <c r="O33" s="32"/>
      <c r="P33" s="33"/>
      <c r="Q33" s="34"/>
    </row>
    <row r="34" spans="1:17" ht="12.75">
      <c r="A34" s="150" t="s">
        <v>499</v>
      </c>
      <c r="B34" s="144" t="s">
        <v>500</v>
      </c>
      <c r="C34" s="142" t="s">
        <v>501</v>
      </c>
      <c r="D34" s="180" t="s">
        <v>502</v>
      </c>
      <c r="E34" s="183" t="s">
        <v>503</v>
      </c>
      <c r="F34" s="184"/>
      <c r="G34" s="184"/>
      <c r="H34" s="184"/>
      <c r="I34" s="185"/>
      <c r="J34" s="183" t="s">
        <v>504</v>
      </c>
      <c r="K34" s="184"/>
      <c r="L34" s="184"/>
      <c r="M34" s="184"/>
      <c r="N34" s="185"/>
      <c r="O34" s="194" t="s">
        <v>505</v>
      </c>
      <c r="P34" s="195"/>
      <c r="Q34" s="35"/>
    </row>
    <row r="35" spans="1:17" ht="12.75">
      <c r="A35" s="150"/>
      <c r="B35" s="145"/>
      <c r="C35" s="143"/>
      <c r="D35" s="181"/>
      <c r="E35" s="186"/>
      <c r="F35" s="187"/>
      <c r="G35" s="187"/>
      <c r="H35" s="187"/>
      <c r="I35" s="188"/>
      <c r="J35" s="142"/>
      <c r="K35" s="189"/>
      <c r="L35" s="189"/>
      <c r="M35" s="189"/>
      <c r="N35" s="190"/>
      <c r="O35" s="196"/>
      <c r="P35" s="197"/>
      <c r="Q35" s="36"/>
    </row>
    <row r="36" spans="1:17" ht="12.75">
      <c r="A36" s="150"/>
      <c r="B36" s="145"/>
      <c r="C36" s="143"/>
      <c r="D36" s="181"/>
      <c r="E36" s="183" t="s">
        <v>506</v>
      </c>
      <c r="F36" s="185"/>
      <c r="G36" s="183" t="s">
        <v>507</v>
      </c>
      <c r="H36" s="185"/>
      <c r="I36" s="191" t="s">
        <v>508</v>
      </c>
      <c r="J36" s="183" t="s">
        <v>509</v>
      </c>
      <c r="K36" s="185"/>
      <c r="L36" s="201" t="s">
        <v>510</v>
      </c>
      <c r="M36" s="191" t="s">
        <v>511</v>
      </c>
      <c r="N36" s="191" t="s">
        <v>508</v>
      </c>
      <c r="O36" s="196"/>
      <c r="P36" s="197"/>
      <c r="Q36" s="36"/>
    </row>
    <row r="37" spans="1:17" ht="12.75">
      <c r="A37" s="151"/>
      <c r="B37" s="141"/>
      <c r="C37" s="143"/>
      <c r="D37" s="181"/>
      <c r="E37" s="186"/>
      <c r="F37" s="188"/>
      <c r="G37" s="186"/>
      <c r="H37" s="188"/>
      <c r="I37" s="200"/>
      <c r="J37" s="142"/>
      <c r="K37" s="190"/>
      <c r="L37" s="202"/>
      <c r="M37" s="193"/>
      <c r="N37" s="200"/>
      <c r="O37" s="196"/>
      <c r="P37" s="197"/>
      <c r="Q37" s="36"/>
    </row>
    <row r="38" spans="1:17" ht="12.75">
      <c r="A38" s="151"/>
      <c r="B38" s="141"/>
      <c r="C38" s="143"/>
      <c r="D38" s="181"/>
      <c r="E38" s="194" t="s">
        <v>510</v>
      </c>
      <c r="F38" s="195"/>
      <c r="G38" s="142" t="s">
        <v>512</v>
      </c>
      <c r="H38" s="190"/>
      <c r="I38" s="200"/>
      <c r="J38" s="142"/>
      <c r="K38" s="190"/>
      <c r="L38" s="202"/>
      <c r="M38" s="191" t="s">
        <v>512</v>
      </c>
      <c r="N38" s="200"/>
      <c r="O38" s="198"/>
      <c r="P38" s="199"/>
      <c r="Q38" s="37"/>
    </row>
    <row r="39" spans="1:17" ht="12.75">
      <c r="A39" s="151"/>
      <c r="B39" s="141"/>
      <c r="C39" s="143"/>
      <c r="D39" s="181"/>
      <c r="E39" s="196"/>
      <c r="F39" s="197"/>
      <c r="G39" s="142"/>
      <c r="H39" s="190"/>
      <c r="I39" s="200"/>
      <c r="J39" s="142"/>
      <c r="K39" s="190"/>
      <c r="L39" s="202"/>
      <c r="M39" s="192"/>
      <c r="N39" s="200"/>
      <c r="O39" s="204" t="s">
        <v>513</v>
      </c>
      <c r="P39" s="205"/>
      <c r="Q39" s="38"/>
    </row>
    <row r="40" spans="1:17" ht="12.75">
      <c r="A40" s="151"/>
      <c r="B40" s="141"/>
      <c r="C40" s="143"/>
      <c r="D40" s="181"/>
      <c r="E40" s="196"/>
      <c r="F40" s="197"/>
      <c r="G40" s="142"/>
      <c r="H40" s="190"/>
      <c r="I40" s="200"/>
      <c r="J40" s="142"/>
      <c r="K40" s="190"/>
      <c r="L40" s="202"/>
      <c r="M40" s="192"/>
      <c r="N40" s="200"/>
      <c r="O40" s="194" t="s">
        <v>506</v>
      </c>
      <c r="P40" s="195"/>
      <c r="Q40" s="35"/>
    </row>
    <row r="41" spans="1:17" ht="12.75">
      <c r="A41" s="151"/>
      <c r="B41" s="141"/>
      <c r="C41" s="179"/>
      <c r="D41" s="182"/>
      <c r="E41" s="198"/>
      <c r="F41" s="199"/>
      <c r="G41" s="186"/>
      <c r="H41" s="188"/>
      <c r="I41" s="144"/>
      <c r="J41" s="186"/>
      <c r="K41" s="188"/>
      <c r="L41" s="203"/>
      <c r="M41" s="193"/>
      <c r="N41" s="144"/>
      <c r="O41" s="198"/>
      <c r="P41" s="199"/>
      <c r="Q41" s="37"/>
    </row>
    <row r="42" spans="1:33" s="46" customFormat="1" ht="15" customHeight="1">
      <c r="A42" s="39">
        <v>1</v>
      </c>
      <c r="B42" s="40">
        <v>2</v>
      </c>
      <c r="C42" s="41">
        <v>3</v>
      </c>
      <c r="D42" s="40">
        <v>4</v>
      </c>
      <c r="E42" s="206">
        <v>5</v>
      </c>
      <c r="F42" s="207"/>
      <c r="G42" s="206">
        <v>6</v>
      </c>
      <c r="H42" s="207"/>
      <c r="I42" s="43">
        <v>7</v>
      </c>
      <c r="J42" s="206">
        <v>8</v>
      </c>
      <c r="K42" s="207"/>
      <c r="L42" s="40">
        <v>9</v>
      </c>
      <c r="M42" s="40">
        <v>10</v>
      </c>
      <c r="N42" s="42">
        <v>11</v>
      </c>
      <c r="O42" s="206">
        <v>12</v>
      </c>
      <c r="P42" s="208"/>
      <c r="Q42" s="208"/>
      <c r="R42" s="44"/>
      <c r="S42" s="44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</row>
    <row r="43" spans="1:17" ht="85.5">
      <c r="A43" s="47" t="str">
        <f>Source!E24</f>
        <v>1</v>
      </c>
      <c r="B43" s="48" t="str">
        <f>IF(Source!BJ24&lt;&gt;"",SUBSTITUTE(SUBSTITUTE(SUBSTITUTE(SUBSTITUTE(SUBSTITUTE(SUBSTITUTE(Source!BJ24,",",""),"сб."," "),"гл.","-"),"табл.","-"),"поз.","-"),"разд.","-"),Source!F24)&amp;" Кэмм*1,25"&amp;" Кзпм*1,25"&amp;" Козп*1,15"&amp;" Ктзс*1,15"&amp;" Ктзм*1,25"</f>
        <v>ФЕР 2009  27-04-001-4 Кэмм*1,25 Кзпм*1,25 Козп*1,15 Ктзс*1,15 Ктзм*1,25</v>
      </c>
      <c r="C43" s="49" t="str">
        <f>Source!G24</f>
        <v>Устройство подстилающих и выравнивающих слоев оснований из щебня (устранение ямочности)</v>
      </c>
      <c r="D43" s="50">
        <f>Source!I24</f>
        <v>0.5927</v>
      </c>
      <c r="E43" s="209">
        <f>Source!AB24</f>
        <v>4418.735000000001</v>
      </c>
      <c r="F43" s="209"/>
      <c r="G43" s="209">
        <f>Source!AD24</f>
        <v>4176.6</v>
      </c>
      <c r="H43" s="209"/>
      <c r="I43" s="90">
        <f>Source!AC24</f>
        <v>17.08</v>
      </c>
      <c r="J43" s="210">
        <f>Source!O24</f>
        <v>12937.79</v>
      </c>
      <c r="K43" s="210"/>
      <c r="L43" s="51">
        <f>Source!S24</f>
        <v>658.95</v>
      </c>
      <c r="M43" s="91">
        <f>Source!Q24</f>
        <v>12228.83</v>
      </c>
      <c r="N43" s="92">
        <f>Source!P24</f>
        <v>50.01</v>
      </c>
      <c r="O43" s="52"/>
      <c r="P43" s="93">
        <f>Source!U24</f>
        <v>16.48802495</v>
      </c>
      <c r="Q43" s="53"/>
    </row>
    <row r="44" spans="1:17" ht="15.75">
      <c r="A44" s="54"/>
      <c r="B44" s="55"/>
      <c r="C44" s="56" t="str">
        <f>Source!H24</f>
        <v>100 м3</v>
      </c>
      <c r="D44" s="57"/>
      <c r="E44" s="211">
        <f>Source!AF24</f>
        <v>225.05499999999998</v>
      </c>
      <c r="F44" s="211"/>
      <c r="G44" s="211">
        <f>Source!AE24</f>
        <v>351.225</v>
      </c>
      <c r="H44" s="211"/>
      <c r="I44" s="59"/>
      <c r="J44" s="60"/>
      <c r="K44" s="60"/>
      <c r="L44" s="61"/>
      <c r="M44" s="62">
        <f>Source!R24</f>
        <v>1028.37</v>
      </c>
      <c r="N44" s="62"/>
      <c r="O44" s="62"/>
      <c r="P44" s="63">
        <f>Source!V24</f>
        <v>15.262025</v>
      </c>
      <c r="Q44" s="64"/>
    </row>
    <row r="45" spans="1:17" ht="15.75">
      <c r="A45" s="65"/>
      <c r="B45" s="66"/>
      <c r="C45" s="212" t="s">
        <v>514</v>
      </c>
      <c r="D45" s="212"/>
      <c r="E45" s="67">
        <f>Source!BA24</f>
        <v>4.94</v>
      </c>
      <c r="F45" s="68" t="s">
        <v>515</v>
      </c>
      <c r="G45" s="69">
        <f>Source!AF24</f>
        <v>225.05499999999998</v>
      </c>
      <c r="H45" s="68" t="s">
        <v>515</v>
      </c>
      <c r="I45" s="70">
        <f>Source!I24</f>
        <v>0.5927</v>
      </c>
      <c r="J45" s="71" t="s">
        <v>516</v>
      </c>
      <c r="K45" s="72">
        <f>Source!S24</f>
        <v>658.95</v>
      </c>
      <c r="L45" s="73"/>
      <c r="M45" s="74"/>
      <c r="N45" s="75"/>
      <c r="O45" s="75"/>
      <c r="P45" s="76"/>
      <c r="Q45" s="77"/>
    </row>
    <row r="46" spans="1:17" ht="15.75">
      <c r="A46" s="65"/>
      <c r="B46" s="66"/>
      <c r="C46" s="213" t="s">
        <v>517</v>
      </c>
      <c r="D46" s="213"/>
      <c r="E46" s="67">
        <f>Source!BB24</f>
        <v>4.94</v>
      </c>
      <c r="F46" s="68" t="s">
        <v>515</v>
      </c>
      <c r="G46" s="69">
        <f>Source!AD24</f>
        <v>4176.6</v>
      </c>
      <c r="H46" s="68" t="s">
        <v>515</v>
      </c>
      <c r="I46" s="70">
        <f>Source!I24</f>
        <v>0.5927</v>
      </c>
      <c r="J46" s="71" t="s">
        <v>516</v>
      </c>
      <c r="K46" s="72">
        <f>Source!Q24</f>
        <v>12228.83</v>
      </c>
      <c r="L46" s="73"/>
      <c r="M46" s="74"/>
      <c r="N46" s="74"/>
      <c r="O46" s="74"/>
      <c r="P46" s="78"/>
      <c r="Q46" s="79"/>
    </row>
    <row r="47" spans="1:17" ht="15.75">
      <c r="A47" s="65"/>
      <c r="B47" s="66"/>
      <c r="C47" s="213" t="s">
        <v>518</v>
      </c>
      <c r="D47" s="213"/>
      <c r="E47" s="67">
        <f>Source!BS24</f>
        <v>4.94</v>
      </c>
      <c r="F47" s="68" t="s">
        <v>515</v>
      </c>
      <c r="G47" s="69">
        <f>Source!AE24</f>
        <v>351.225</v>
      </c>
      <c r="H47" s="68" t="s">
        <v>515</v>
      </c>
      <c r="I47" s="70">
        <f>Source!I24</f>
        <v>0.5927</v>
      </c>
      <c r="J47" s="71" t="s">
        <v>516</v>
      </c>
      <c r="K47" s="72">
        <f>Source!R24</f>
        <v>1028.37</v>
      </c>
      <c r="L47" s="73"/>
      <c r="M47" s="74"/>
      <c r="N47" s="74"/>
      <c r="O47" s="74"/>
      <c r="P47" s="78"/>
      <c r="Q47" s="79"/>
    </row>
    <row r="48" spans="1:17" ht="15.75">
      <c r="A48" s="65"/>
      <c r="B48" s="66"/>
      <c r="C48" s="213" t="s">
        <v>519</v>
      </c>
      <c r="D48" s="213"/>
      <c r="E48" s="67">
        <f>Source!BC24</f>
        <v>4.94</v>
      </c>
      <c r="F48" s="68" t="s">
        <v>515</v>
      </c>
      <c r="G48" s="69">
        <f>Source!AC24</f>
        <v>17.08</v>
      </c>
      <c r="H48" s="68" t="s">
        <v>515</v>
      </c>
      <c r="I48" s="70">
        <f>Source!I24</f>
        <v>0.5927</v>
      </c>
      <c r="J48" s="71" t="s">
        <v>516</v>
      </c>
      <c r="K48" s="72">
        <f>Source!P24</f>
        <v>50.01</v>
      </c>
      <c r="L48" s="73"/>
      <c r="M48" s="74"/>
      <c r="N48" s="74"/>
      <c r="O48" s="74"/>
      <c r="P48" s="80"/>
      <c r="Q48" s="79"/>
    </row>
    <row r="49" spans="1:17" ht="17.25">
      <c r="A49" s="81"/>
      <c r="B49" s="82"/>
      <c r="C49" s="214" t="s">
        <v>104</v>
      </c>
      <c r="D49" s="214"/>
      <c r="E49" s="214"/>
      <c r="F49" s="83"/>
      <c r="G49" s="215">
        <f>Source!AT24/100</f>
        <v>1.42</v>
      </c>
      <c r="H49" s="215"/>
      <c r="I49" s="216" t="s">
        <v>520</v>
      </c>
      <c r="J49" s="216"/>
      <c r="K49" s="58">
        <f>M49+M50</f>
        <v>1687.32</v>
      </c>
      <c r="L49" s="84"/>
      <c r="M49" s="85">
        <f>Source!S24</f>
        <v>658.95</v>
      </c>
      <c r="N49" s="217">
        <f>Source!X24</f>
        <v>2395.99</v>
      </c>
      <c r="O49" s="216"/>
      <c r="P49" s="218"/>
      <c r="Q49" s="86"/>
    </row>
    <row r="50" spans="1:17" ht="17.25">
      <c r="A50" s="87"/>
      <c r="B50" s="88"/>
      <c r="C50" s="214" t="s">
        <v>106</v>
      </c>
      <c r="D50" s="214"/>
      <c r="E50" s="214"/>
      <c r="F50" s="89"/>
      <c r="G50" s="215">
        <f>Source!AU24/100</f>
        <v>0.81</v>
      </c>
      <c r="H50" s="215"/>
      <c r="I50" s="216" t="s">
        <v>520</v>
      </c>
      <c r="J50" s="216"/>
      <c r="K50" s="58">
        <f>M49+M50</f>
        <v>1687.32</v>
      </c>
      <c r="L50" s="84"/>
      <c r="M50" s="85">
        <f>Source!R24</f>
        <v>1028.37</v>
      </c>
      <c r="N50" s="217">
        <f>Source!Y24</f>
        <v>1366.73</v>
      </c>
      <c r="O50" s="216"/>
      <c r="P50" s="218"/>
      <c r="Q50" s="86"/>
    </row>
    <row r="51" spans="1:17" ht="47.25">
      <c r="A51" s="94" t="str">
        <f>Source!E25</f>
        <v>1,1</v>
      </c>
      <c r="B51" s="95" t="str">
        <f>IF(Source!BJ25&lt;&gt;"",SUBSTITUTE(SUBSTITUTE(SUBSTITUTE(SUBSTITUTE(SUBSTITUTE(SUBSTITUTE(Source!BJ25,",",""),"сб."," "),"гл.","-"),"табл.","-"),"поз.","-"),"разд.","-"),Source!F25)</f>
        <v>ФССЦ (2010) ч.4 раздел08 -9080</v>
      </c>
      <c r="C51" s="96" t="str">
        <f>Source!G25</f>
        <v>Щебень фр.40-70 марка 800</v>
      </c>
      <c r="D51" s="219">
        <f>Source!I25</f>
        <v>74.6802</v>
      </c>
      <c r="E51" s="221"/>
      <c r="F51" s="221"/>
      <c r="G51" s="97"/>
      <c r="H51" s="97"/>
      <c r="I51" s="98">
        <f>Source!AC25</f>
        <v>103</v>
      </c>
      <c r="J51" s="221"/>
      <c r="K51" s="221"/>
      <c r="L51" s="98"/>
      <c r="M51" s="98"/>
      <c r="N51" s="98">
        <f>Source!P25</f>
        <v>37998.78</v>
      </c>
      <c r="O51" s="99"/>
      <c r="P51" s="100"/>
      <c r="Q51" s="101"/>
    </row>
    <row r="52" spans="1:17" ht="15.75">
      <c r="A52" s="102"/>
      <c r="B52" s="103"/>
      <c r="C52" s="104" t="str">
        <f>IF(Source!DW25="",Source!H25,Source!DW25)</f>
        <v>м3</v>
      </c>
      <c r="D52" s="220"/>
      <c r="E52" s="220"/>
      <c r="F52" s="220"/>
      <c r="G52" s="105"/>
      <c r="H52" s="105"/>
      <c r="I52" s="105"/>
      <c r="J52" s="222"/>
      <c r="K52" s="222"/>
      <c r="L52" s="106"/>
      <c r="M52" s="106"/>
      <c r="N52" s="106"/>
      <c r="O52" s="107"/>
      <c r="P52" s="108"/>
      <c r="Q52" s="109"/>
    </row>
    <row r="53" spans="1:17" ht="78.75">
      <c r="A53" s="47" t="str">
        <f>Source!E26</f>
        <v>2</v>
      </c>
      <c r="B53" s="48" t="str">
        <f>IF(Source!BJ26&lt;&gt;"",SUBSTITUTE(SUBSTITUTE(SUBSTITUTE(SUBSTITUTE(SUBSTITUTE(SUBSTITUTE(Source!BJ26,",",""),"сб."," "),"гл.","-"),"табл.","-"),"поз.","-"),"разд.","-"),Source!F26)</f>
        <v>ФЕРр 2009  68-10-1</v>
      </c>
      <c r="C53" s="49" t="str">
        <f>Source!G26</f>
        <v>Устройство выравнивающего слоя из асфальтобетонной смеси: с применением укладчиков асфальтобетона</v>
      </c>
      <c r="D53" s="50">
        <f>Source!I26</f>
        <v>0.1702</v>
      </c>
      <c r="E53" s="223">
        <f>Source!AB26</f>
        <v>50446.55</v>
      </c>
      <c r="F53" s="223"/>
      <c r="G53" s="223">
        <f>Source!AD26</f>
        <v>3689.91</v>
      </c>
      <c r="H53" s="223"/>
      <c r="I53" s="90">
        <f>Source!AC26</f>
        <v>46463.94</v>
      </c>
      <c r="J53" s="224">
        <f>Source!O26</f>
        <v>42414.85</v>
      </c>
      <c r="K53" s="224"/>
      <c r="L53" s="51">
        <f>Source!S26</f>
        <v>246.1</v>
      </c>
      <c r="M53" s="91">
        <f>Source!Q26</f>
        <v>3102.43</v>
      </c>
      <c r="N53" s="92">
        <f>Source!P26</f>
        <v>39066.32</v>
      </c>
      <c r="O53" s="52"/>
      <c r="P53" s="93">
        <f>Source!U26</f>
        <v>5.104297999999999</v>
      </c>
      <c r="Q53" s="53"/>
    </row>
    <row r="54" spans="1:17" ht="15.75">
      <c r="A54" s="54"/>
      <c r="B54" s="55"/>
      <c r="C54" s="56" t="str">
        <f>Source!H26</f>
        <v>100 т</v>
      </c>
      <c r="D54" s="57"/>
      <c r="E54" s="211">
        <f>Source!AF26</f>
        <v>292.7</v>
      </c>
      <c r="F54" s="211"/>
      <c r="G54" s="211">
        <f>Source!AE26</f>
        <v>412.32</v>
      </c>
      <c r="H54" s="211"/>
      <c r="I54" s="59"/>
      <c r="J54" s="60"/>
      <c r="K54" s="60"/>
      <c r="L54" s="61"/>
      <c r="M54" s="62">
        <f>Source!R26</f>
        <v>346.67</v>
      </c>
      <c r="N54" s="62"/>
      <c r="O54" s="62"/>
      <c r="P54" s="63">
        <f>Source!V26</f>
        <v>5.088979999999999</v>
      </c>
      <c r="Q54" s="64"/>
    </row>
    <row r="55" spans="1:17" ht="15.75">
      <c r="A55" s="65"/>
      <c r="B55" s="66"/>
      <c r="C55" s="212" t="s">
        <v>514</v>
      </c>
      <c r="D55" s="212"/>
      <c r="E55" s="67">
        <f>Source!BA26</f>
        <v>4.94</v>
      </c>
      <c r="F55" s="68" t="s">
        <v>515</v>
      </c>
      <c r="G55" s="69">
        <f>Source!AF26</f>
        <v>292.7</v>
      </c>
      <c r="H55" s="68" t="s">
        <v>515</v>
      </c>
      <c r="I55" s="70">
        <f>Source!I26</f>
        <v>0.1702</v>
      </c>
      <c r="J55" s="71" t="s">
        <v>516</v>
      </c>
      <c r="K55" s="72">
        <f>Source!S26</f>
        <v>246.1</v>
      </c>
      <c r="L55" s="73"/>
      <c r="M55" s="74"/>
      <c r="N55" s="75"/>
      <c r="O55" s="75"/>
      <c r="P55" s="76"/>
      <c r="Q55" s="77"/>
    </row>
    <row r="56" spans="1:17" ht="15.75">
      <c r="A56" s="65"/>
      <c r="B56" s="66"/>
      <c r="C56" s="213" t="s">
        <v>517</v>
      </c>
      <c r="D56" s="213"/>
      <c r="E56" s="67">
        <f>Source!BB26</f>
        <v>4.94</v>
      </c>
      <c r="F56" s="68" t="s">
        <v>515</v>
      </c>
      <c r="G56" s="69">
        <f>Source!AD26</f>
        <v>3689.91</v>
      </c>
      <c r="H56" s="68" t="s">
        <v>515</v>
      </c>
      <c r="I56" s="70">
        <f>Source!I26</f>
        <v>0.1702</v>
      </c>
      <c r="J56" s="71" t="s">
        <v>516</v>
      </c>
      <c r="K56" s="72">
        <f>Source!Q26</f>
        <v>3102.43</v>
      </c>
      <c r="L56" s="73"/>
      <c r="M56" s="74"/>
      <c r="N56" s="74"/>
      <c r="O56" s="74"/>
      <c r="P56" s="78"/>
      <c r="Q56" s="79"/>
    </row>
    <row r="57" spans="1:17" ht="15.75">
      <c r="A57" s="65"/>
      <c r="B57" s="66"/>
      <c r="C57" s="213" t="s">
        <v>518</v>
      </c>
      <c r="D57" s="213"/>
      <c r="E57" s="67">
        <f>Source!BS26</f>
        <v>4.94</v>
      </c>
      <c r="F57" s="68" t="s">
        <v>515</v>
      </c>
      <c r="G57" s="69">
        <f>Source!AE26</f>
        <v>412.32</v>
      </c>
      <c r="H57" s="68" t="s">
        <v>515</v>
      </c>
      <c r="I57" s="70">
        <f>Source!I26</f>
        <v>0.1702</v>
      </c>
      <c r="J57" s="71" t="s">
        <v>516</v>
      </c>
      <c r="K57" s="72">
        <f>Source!R26</f>
        <v>346.67</v>
      </c>
      <c r="L57" s="73"/>
      <c r="M57" s="74"/>
      <c r="N57" s="74"/>
      <c r="O57" s="74"/>
      <c r="P57" s="78"/>
      <c r="Q57" s="79"/>
    </row>
    <row r="58" spans="1:17" ht="15.75">
      <c r="A58" s="65"/>
      <c r="B58" s="66"/>
      <c r="C58" s="213" t="s">
        <v>519</v>
      </c>
      <c r="D58" s="213"/>
      <c r="E58" s="67">
        <f>Source!BC26</f>
        <v>4.94</v>
      </c>
      <c r="F58" s="68" t="s">
        <v>515</v>
      </c>
      <c r="G58" s="69">
        <f>Source!AC26</f>
        <v>46463.94</v>
      </c>
      <c r="H58" s="68" t="s">
        <v>515</v>
      </c>
      <c r="I58" s="70">
        <f>Source!I26</f>
        <v>0.1702</v>
      </c>
      <c r="J58" s="71" t="s">
        <v>516</v>
      </c>
      <c r="K58" s="72">
        <f>Source!P26</f>
        <v>39066.32</v>
      </c>
      <c r="L58" s="73"/>
      <c r="M58" s="74"/>
      <c r="N58" s="74"/>
      <c r="O58" s="74"/>
      <c r="P58" s="80"/>
      <c r="Q58" s="79"/>
    </row>
    <row r="59" spans="1:17" ht="17.25">
      <c r="A59" s="81"/>
      <c r="B59" s="82"/>
      <c r="C59" s="214" t="s">
        <v>104</v>
      </c>
      <c r="D59" s="214"/>
      <c r="E59" s="214"/>
      <c r="F59" s="83"/>
      <c r="G59" s="215">
        <f>Source!AT26/100</f>
        <v>1.04</v>
      </c>
      <c r="H59" s="215"/>
      <c r="I59" s="216" t="s">
        <v>520</v>
      </c>
      <c r="J59" s="216"/>
      <c r="K59" s="58">
        <f>M59+M60</f>
        <v>592.77</v>
      </c>
      <c r="L59" s="84"/>
      <c r="M59" s="85">
        <f>Source!S26</f>
        <v>246.1</v>
      </c>
      <c r="N59" s="217">
        <f>Source!X26</f>
        <v>616.48</v>
      </c>
      <c r="O59" s="216"/>
      <c r="P59" s="218"/>
      <c r="Q59" s="86"/>
    </row>
    <row r="60" spans="1:17" ht="17.25">
      <c r="A60" s="87"/>
      <c r="B60" s="88"/>
      <c r="C60" s="214" t="s">
        <v>106</v>
      </c>
      <c r="D60" s="214"/>
      <c r="E60" s="214"/>
      <c r="F60" s="89"/>
      <c r="G60" s="215">
        <f>Source!AU26/100</f>
        <v>0.6</v>
      </c>
      <c r="H60" s="215"/>
      <c r="I60" s="216" t="s">
        <v>520</v>
      </c>
      <c r="J60" s="216"/>
      <c r="K60" s="58">
        <f>M59+M60</f>
        <v>592.77</v>
      </c>
      <c r="L60" s="84"/>
      <c r="M60" s="85">
        <f>Source!R26</f>
        <v>346.67</v>
      </c>
      <c r="N60" s="217">
        <f>Source!Y26</f>
        <v>355.66</v>
      </c>
      <c r="O60" s="216"/>
      <c r="P60" s="218"/>
      <c r="Q60" s="86"/>
    </row>
    <row r="61" spans="1:17" ht="110.25">
      <c r="A61" s="94" t="str">
        <f>Source!E27</f>
        <v>2,1</v>
      </c>
      <c r="B61" s="95" t="str">
        <f>IF(Source!BJ27&lt;&gt;"",SUBSTITUTE(SUBSTITUTE(SUBSTITUTE(SUBSTITUTE(SUBSTITUTE(SUBSTITUTE(Source!BJ27,",",""),"сб."," "),"гл.","-"),"табл.","-"),"поз.","-"),"разд.","-"),Source!F27)</f>
        <v>ФССЦ (2010) ч.4 раздел10 -0021</v>
      </c>
      <c r="C61" s="96" t="str">
        <f>Source!G27</f>
        <v>Асфальтобетонные смеси дорожные, аэродромные и асфальтобетон (горячие и теплые для пористого асфальтобетона щебеночные и гравийные), марка I</v>
      </c>
      <c r="D61" s="219">
        <f>Source!I27</f>
        <v>-17.190199999999997</v>
      </c>
      <c r="E61" s="221"/>
      <c r="F61" s="221"/>
      <c r="G61" s="97"/>
      <c r="H61" s="97"/>
      <c r="I61" s="98">
        <f>Source!AC27</f>
        <v>459.91</v>
      </c>
      <c r="J61" s="221"/>
      <c r="K61" s="221"/>
      <c r="L61" s="98"/>
      <c r="M61" s="98"/>
      <c r="N61" s="98">
        <f>Source!P27</f>
        <v>-39055.37</v>
      </c>
      <c r="O61" s="99"/>
      <c r="P61" s="100"/>
      <c r="Q61" s="101"/>
    </row>
    <row r="62" spans="1:17" ht="15.75">
      <c r="A62" s="102"/>
      <c r="B62" s="103"/>
      <c r="C62" s="104" t="str">
        <f>IF(Source!DW27="",Source!H27,Source!DW27)</f>
        <v>т</v>
      </c>
      <c r="D62" s="220"/>
      <c r="E62" s="220"/>
      <c r="F62" s="220"/>
      <c r="G62" s="105"/>
      <c r="H62" s="105"/>
      <c r="I62" s="105"/>
      <c r="J62" s="222"/>
      <c r="K62" s="222"/>
      <c r="L62" s="106"/>
      <c r="M62" s="106"/>
      <c r="N62" s="106"/>
      <c r="O62" s="107"/>
      <c r="P62" s="108"/>
      <c r="Q62" s="109"/>
    </row>
    <row r="63" spans="1:17" ht="47.25">
      <c r="A63" s="94" t="str">
        <f>Source!E28</f>
        <v>2,2</v>
      </c>
      <c r="B63" s="95" t="str">
        <f>IF(Source!BJ28&lt;&gt;"",SUBSTITUTE(SUBSTITUTE(SUBSTITUTE(SUBSTITUTE(SUBSTITUTE(SUBSTITUTE(Source!BJ28,",",""),"сб."," "),"гл.","-"),"табл.","-"),"поз.","-"),"разд.","-"),Source!F28)</f>
        <v>ФССЦ (2010) ч.4 раздел10 -0008</v>
      </c>
      <c r="C63" s="96" t="str">
        <f>Source!G28</f>
        <v>Асфальтобетонные смеси дорожные марка II, тип Г</v>
      </c>
      <c r="D63" s="219">
        <f>Source!I28</f>
        <v>17.190199999999997</v>
      </c>
      <c r="E63" s="221"/>
      <c r="F63" s="221"/>
      <c r="G63" s="97"/>
      <c r="H63" s="97"/>
      <c r="I63" s="98">
        <f>Source!AC28</f>
        <v>571.6</v>
      </c>
      <c r="J63" s="221"/>
      <c r="K63" s="221"/>
      <c r="L63" s="98"/>
      <c r="M63" s="98"/>
      <c r="N63" s="98">
        <f>Source!P28</f>
        <v>48540.04</v>
      </c>
      <c r="O63" s="99"/>
      <c r="P63" s="100"/>
      <c r="Q63" s="101"/>
    </row>
    <row r="64" spans="1:17" ht="15.75">
      <c r="A64" s="102"/>
      <c r="B64" s="103"/>
      <c r="C64" s="104" t="str">
        <f>IF(Source!DW28="",Source!H28,Source!DW28)</f>
        <v>т</v>
      </c>
      <c r="D64" s="220"/>
      <c r="E64" s="220"/>
      <c r="F64" s="220"/>
      <c r="G64" s="105"/>
      <c r="H64" s="105"/>
      <c r="I64" s="105"/>
      <c r="J64" s="222"/>
      <c r="K64" s="222"/>
      <c r="L64" s="106"/>
      <c r="M64" s="106"/>
      <c r="N64" s="106"/>
      <c r="O64" s="107"/>
      <c r="P64" s="108"/>
      <c r="Q64" s="109"/>
    </row>
    <row r="65" spans="1:17" ht="60.75" customHeight="1">
      <c r="A65" s="47" t="str">
        <f>Source!E29</f>
        <v>3</v>
      </c>
      <c r="B65" s="48" t="str">
        <f>IF(Source!BJ29&lt;&gt;"",SUBSTITUTE(SUBSTITUTE(SUBSTITUTE(SUBSTITUTE(SUBSTITUTE(SUBSTITUTE(Source!BJ29,",",""),"сб."," "),"гл.","-"),"табл.","-"),"поз.","-"),"разд.","-"),Source!F29)&amp;" Кэмм*1,25"&amp;" Кзпм*1,25"&amp;" Козп*1,15"&amp;" Ктзс*1,15"&amp;" Ктзм*1,25"</f>
        <v>ФЕР 2009  27-06-026-1 Кэмм*1,25 Кзпм*1,25 Козп*1,15 Ктзс*1,15 Ктзм*1,25</v>
      </c>
      <c r="C65" s="49" t="str">
        <f>Source!G29</f>
        <v>Розлив вяжущих материалов</v>
      </c>
      <c r="D65" s="50">
        <f>Source!I29</f>
        <v>0.2797</v>
      </c>
      <c r="E65" s="223">
        <f>Source!AB29</f>
        <v>1581.73</v>
      </c>
      <c r="F65" s="223"/>
      <c r="G65" s="223">
        <f>Source!AD29</f>
        <v>49.5</v>
      </c>
      <c r="H65" s="223"/>
      <c r="I65" s="90">
        <f>Source!AC29</f>
        <v>1532.23</v>
      </c>
      <c r="J65" s="224">
        <f>Source!O29</f>
        <v>2185.51</v>
      </c>
      <c r="K65" s="224"/>
      <c r="L65" s="51">
        <f>Source!S29</f>
        <v>0</v>
      </c>
      <c r="M65" s="91">
        <f>Source!Q29</f>
        <v>68.4</v>
      </c>
      <c r="N65" s="92">
        <f>Source!P29</f>
        <v>2117.11</v>
      </c>
      <c r="O65" s="52"/>
      <c r="P65" s="93">
        <f>Source!U29</f>
        <v>0</v>
      </c>
      <c r="Q65" s="53"/>
    </row>
    <row r="66" spans="1:17" ht="15.75">
      <c r="A66" s="54"/>
      <c r="B66" s="55"/>
      <c r="C66" s="56" t="str">
        <f>Source!H29</f>
        <v>т</v>
      </c>
      <c r="D66" s="57"/>
      <c r="E66" s="211">
        <f>Source!AF29</f>
        <v>0</v>
      </c>
      <c r="F66" s="211"/>
      <c r="G66" s="211">
        <f>Source!AE29</f>
        <v>9.575</v>
      </c>
      <c r="H66" s="211"/>
      <c r="I66" s="59"/>
      <c r="J66" s="60"/>
      <c r="K66" s="60"/>
      <c r="L66" s="61"/>
      <c r="M66" s="62">
        <f>Source!R29</f>
        <v>13.23</v>
      </c>
      <c r="N66" s="62"/>
      <c r="O66" s="62"/>
      <c r="P66" s="63">
        <f>Source!V29</f>
        <v>0.23075250000000003</v>
      </c>
      <c r="Q66" s="64"/>
    </row>
    <row r="67" spans="1:17" ht="15.75">
      <c r="A67" s="65"/>
      <c r="B67" s="66"/>
      <c r="C67" s="212" t="s">
        <v>514</v>
      </c>
      <c r="D67" s="212"/>
      <c r="E67" s="67">
        <f>Source!BA29</f>
        <v>4.94</v>
      </c>
      <c r="F67" s="68" t="s">
        <v>515</v>
      </c>
      <c r="G67" s="69">
        <f>Source!AF29</f>
        <v>0</v>
      </c>
      <c r="H67" s="68" t="s">
        <v>515</v>
      </c>
      <c r="I67" s="70">
        <f>Source!I29</f>
        <v>0.2797</v>
      </c>
      <c r="J67" s="71" t="s">
        <v>516</v>
      </c>
      <c r="K67" s="72">
        <f>Source!S29</f>
        <v>0</v>
      </c>
      <c r="L67" s="73"/>
      <c r="M67" s="74"/>
      <c r="N67" s="75"/>
      <c r="O67" s="75"/>
      <c r="P67" s="76"/>
      <c r="Q67" s="77"/>
    </row>
    <row r="68" spans="1:17" ht="15.75">
      <c r="A68" s="65"/>
      <c r="B68" s="66"/>
      <c r="C68" s="213" t="s">
        <v>517</v>
      </c>
      <c r="D68" s="213"/>
      <c r="E68" s="67">
        <f>Source!BB29</f>
        <v>4.94</v>
      </c>
      <c r="F68" s="68" t="s">
        <v>515</v>
      </c>
      <c r="G68" s="69">
        <f>Source!AD29</f>
        <v>49.5</v>
      </c>
      <c r="H68" s="68" t="s">
        <v>515</v>
      </c>
      <c r="I68" s="70">
        <f>Source!I29</f>
        <v>0.2797</v>
      </c>
      <c r="J68" s="71" t="s">
        <v>516</v>
      </c>
      <c r="K68" s="72">
        <f>Source!Q29</f>
        <v>68.4</v>
      </c>
      <c r="L68" s="73"/>
      <c r="M68" s="74"/>
      <c r="N68" s="74"/>
      <c r="O68" s="74"/>
      <c r="P68" s="78"/>
      <c r="Q68" s="79"/>
    </row>
    <row r="69" spans="1:17" ht="15.75">
      <c r="A69" s="65"/>
      <c r="B69" s="66"/>
      <c r="C69" s="213" t="s">
        <v>518</v>
      </c>
      <c r="D69" s="213"/>
      <c r="E69" s="67">
        <f>Source!BS29</f>
        <v>4.94</v>
      </c>
      <c r="F69" s="68" t="s">
        <v>515</v>
      </c>
      <c r="G69" s="69">
        <f>Source!AE29</f>
        <v>9.575</v>
      </c>
      <c r="H69" s="68" t="s">
        <v>515</v>
      </c>
      <c r="I69" s="70">
        <f>Source!I29</f>
        <v>0.2797</v>
      </c>
      <c r="J69" s="71" t="s">
        <v>516</v>
      </c>
      <c r="K69" s="72">
        <f>Source!R29</f>
        <v>13.23</v>
      </c>
      <c r="L69" s="73"/>
      <c r="M69" s="74"/>
      <c r="N69" s="74"/>
      <c r="O69" s="74"/>
      <c r="P69" s="78"/>
      <c r="Q69" s="79"/>
    </row>
    <row r="70" spans="1:17" ht="15.75">
      <c r="A70" s="65"/>
      <c r="B70" s="66"/>
      <c r="C70" s="213" t="s">
        <v>519</v>
      </c>
      <c r="D70" s="213"/>
      <c r="E70" s="67">
        <f>Source!BC29</f>
        <v>4.94</v>
      </c>
      <c r="F70" s="68" t="s">
        <v>515</v>
      </c>
      <c r="G70" s="69">
        <f>Source!AC29</f>
        <v>1532.23</v>
      </c>
      <c r="H70" s="68" t="s">
        <v>515</v>
      </c>
      <c r="I70" s="70">
        <f>Source!I29</f>
        <v>0.2797</v>
      </c>
      <c r="J70" s="71" t="s">
        <v>516</v>
      </c>
      <c r="K70" s="72">
        <f>Source!P29</f>
        <v>2117.11</v>
      </c>
      <c r="L70" s="73"/>
      <c r="M70" s="74"/>
      <c r="N70" s="74"/>
      <c r="O70" s="74"/>
      <c r="P70" s="80"/>
      <c r="Q70" s="79"/>
    </row>
    <row r="71" spans="1:17" ht="17.25">
      <c r="A71" s="81"/>
      <c r="B71" s="82"/>
      <c r="C71" s="214" t="s">
        <v>104</v>
      </c>
      <c r="D71" s="214"/>
      <c r="E71" s="214"/>
      <c r="F71" s="83"/>
      <c r="G71" s="215">
        <f>Source!AT29/100</f>
        <v>1.42</v>
      </c>
      <c r="H71" s="215"/>
      <c r="I71" s="216" t="s">
        <v>520</v>
      </c>
      <c r="J71" s="216"/>
      <c r="K71" s="58">
        <f>M71+M72</f>
        <v>13.23</v>
      </c>
      <c r="L71" s="84"/>
      <c r="M71" s="85">
        <f>Source!S29</f>
        <v>0</v>
      </c>
      <c r="N71" s="217">
        <f>Source!X29</f>
        <v>18.79</v>
      </c>
      <c r="O71" s="216"/>
      <c r="P71" s="218"/>
      <c r="Q71" s="86"/>
    </row>
    <row r="72" spans="1:17" ht="17.25">
      <c r="A72" s="87"/>
      <c r="B72" s="88"/>
      <c r="C72" s="214" t="s">
        <v>106</v>
      </c>
      <c r="D72" s="214"/>
      <c r="E72" s="214"/>
      <c r="F72" s="89"/>
      <c r="G72" s="215">
        <f>Source!AU29/100</f>
        <v>0.81</v>
      </c>
      <c r="H72" s="215"/>
      <c r="I72" s="216" t="s">
        <v>520</v>
      </c>
      <c r="J72" s="216"/>
      <c r="K72" s="58">
        <f>M71+M72</f>
        <v>13.23</v>
      </c>
      <c r="L72" s="84"/>
      <c r="M72" s="85">
        <f>Source!R29</f>
        <v>13.23</v>
      </c>
      <c r="N72" s="217">
        <f>Source!Y29</f>
        <v>10.72</v>
      </c>
      <c r="O72" s="216"/>
      <c r="P72" s="218"/>
      <c r="Q72" s="86"/>
    </row>
    <row r="73" spans="1:17" ht="47.25">
      <c r="A73" s="94" t="str">
        <f>Source!E30</f>
        <v>3,1</v>
      </c>
      <c r="B73" s="95" t="str">
        <f>IF(Source!BJ30&lt;&gt;"",SUBSTITUTE(SUBSTITUTE(SUBSTITUTE(SUBSTITUTE(SUBSTITUTE(SUBSTITUTE(Source!BJ30,",",""),"сб."," "),"гл.","-"),"табл.","-"),"поз.","-"),"разд.","-"),Source!F30)</f>
        <v>ФССЦ (2010) ч.1 раздел01 -1561</v>
      </c>
      <c r="C73" s="96" t="str">
        <f>Source!G30</f>
        <v>Битумы нефтяные дорожные жидкие, класс МГ, СГ</v>
      </c>
      <c r="D73" s="219">
        <f>Source!I30</f>
        <v>-0.288091</v>
      </c>
      <c r="E73" s="221"/>
      <c r="F73" s="221"/>
      <c r="G73" s="97"/>
      <c r="H73" s="97"/>
      <c r="I73" s="98">
        <f>Source!AC30</f>
        <v>1487.6</v>
      </c>
      <c r="J73" s="221"/>
      <c r="K73" s="221"/>
      <c r="L73" s="98"/>
      <c r="M73" s="98"/>
      <c r="N73" s="98">
        <f>Source!P30</f>
        <v>-2117.11</v>
      </c>
      <c r="O73" s="99"/>
      <c r="P73" s="100"/>
      <c r="Q73" s="101"/>
    </row>
    <row r="74" spans="1:17" ht="15.75">
      <c r="A74" s="102"/>
      <c r="B74" s="103"/>
      <c r="C74" s="104" t="str">
        <f>IF(Source!DW30="",Source!H30,Source!DW30)</f>
        <v>т</v>
      </c>
      <c r="D74" s="220"/>
      <c r="E74" s="220"/>
      <c r="F74" s="220"/>
      <c r="G74" s="105"/>
      <c r="H74" s="105"/>
      <c r="I74" s="105"/>
      <c r="J74" s="222"/>
      <c r="K74" s="222"/>
      <c r="L74" s="106"/>
      <c r="M74" s="106"/>
      <c r="N74" s="106"/>
      <c r="O74" s="107"/>
      <c r="P74" s="108"/>
      <c r="Q74" s="109"/>
    </row>
    <row r="75" spans="1:17" ht="47.25">
      <c r="A75" s="94" t="str">
        <f>Source!E31</f>
        <v>3,2</v>
      </c>
      <c r="B75" s="95" t="str">
        <f>IF(Source!BJ31&lt;&gt;"",SUBSTITUTE(SUBSTITUTE(SUBSTITUTE(SUBSTITUTE(SUBSTITUTE(SUBSTITUTE(Source!BJ31,",",""),"сб."," "),"гл.","-"),"табл.","-"),"поз.","-"),"разд.","-"),Source!F31)</f>
        <v>ФССЦ (2010) ч.1 раздел01 -1559</v>
      </c>
      <c r="C75" s="96" t="str">
        <f>Source!G31</f>
        <v>Битумы нефтяные дорожные марки БНД-60/90, БНД-90/130</v>
      </c>
      <c r="D75" s="219">
        <f>Source!I31</f>
        <v>0.288091</v>
      </c>
      <c r="E75" s="221"/>
      <c r="F75" s="221"/>
      <c r="G75" s="97"/>
      <c r="H75" s="97"/>
      <c r="I75" s="98">
        <f>Source!AC31</f>
        <v>2172.48</v>
      </c>
      <c r="J75" s="221"/>
      <c r="K75" s="221"/>
      <c r="L75" s="98"/>
      <c r="M75" s="98"/>
      <c r="N75" s="98">
        <f>Source!P31</f>
        <v>3091.81</v>
      </c>
      <c r="O75" s="99"/>
      <c r="P75" s="100"/>
      <c r="Q75" s="101"/>
    </row>
    <row r="76" spans="1:17" ht="15.75">
      <c r="A76" s="102"/>
      <c r="B76" s="103"/>
      <c r="C76" s="104" t="str">
        <f>IF(Source!DW31="",Source!H31,Source!DW31)</f>
        <v>т</v>
      </c>
      <c r="D76" s="220"/>
      <c r="E76" s="220"/>
      <c r="F76" s="220"/>
      <c r="G76" s="105"/>
      <c r="H76" s="105"/>
      <c r="I76" s="105"/>
      <c r="J76" s="222"/>
      <c r="K76" s="222"/>
      <c r="L76" s="106"/>
      <c r="M76" s="106"/>
      <c r="N76" s="106"/>
      <c r="O76" s="107"/>
      <c r="P76" s="108"/>
      <c r="Q76" s="109"/>
    </row>
    <row r="77" spans="1:17" ht="94.5">
      <c r="A77" s="47" t="str">
        <f>Source!E32</f>
        <v>4</v>
      </c>
      <c r="B77" s="48" t="str">
        <f>IF(Source!BJ32&lt;&gt;"",SUBSTITUTE(SUBSTITUTE(SUBSTITUTE(SUBSTITUTE(SUBSTITUTE(SUBSTITUTE(Source!BJ32,",",""),"сб."," "),"гл.","-"),"табл.","-"),"поз.","-"),"разд.","-"),Source!F32)&amp;" Кэмм*1,25"&amp;" Кзпм*1,25"&amp;" Козп*1,15"&amp;" Ктзс*1,15"&amp;" Ктзм*1,25"</f>
        <v>ФЕР 2009  27-06-020-5 Кэмм*1,25 Кзпм*1,25 Козп*1,15 Ктзс*1,15 Ктзм*1,25</v>
      </c>
      <c r="C77" s="49" t="str">
        <f>Source!G32</f>
        <v>Устройство покрытия толщиной 4 см из горячих асфальтобетонных смесей плотных песчаных типа ГД, плотность каменных материалов 2,5-2,9-3 т/м3</v>
      </c>
      <c r="D77" s="50">
        <f>Source!I32</f>
        <v>0.3593</v>
      </c>
      <c r="E77" s="223">
        <f>Source!AB32</f>
        <v>56985.2025</v>
      </c>
      <c r="F77" s="223"/>
      <c r="G77" s="223">
        <f>Source!AD32</f>
        <v>2982.7749999999996</v>
      </c>
      <c r="H77" s="223"/>
      <c r="I77" s="90">
        <f>Source!AC32</f>
        <v>53578.71</v>
      </c>
      <c r="J77" s="224">
        <f>Source!O32</f>
        <v>101145.42</v>
      </c>
      <c r="K77" s="224"/>
      <c r="L77" s="51">
        <f>Source!S32</f>
        <v>752.07</v>
      </c>
      <c r="M77" s="91">
        <f>Source!Q32</f>
        <v>5294.25</v>
      </c>
      <c r="N77" s="92">
        <f>Source!P32</f>
        <v>95099.1</v>
      </c>
      <c r="O77" s="52"/>
      <c r="P77" s="93">
        <f>Source!U32</f>
        <v>15.825368499999998</v>
      </c>
      <c r="Q77" s="53"/>
    </row>
    <row r="78" spans="1:17" ht="15.75">
      <c r="A78" s="54"/>
      <c r="B78" s="55"/>
      <c r="C78" s="56" t="str">
        <f>Source!H32</f>
        <v>1000 м2</v>
      </c>
      <c r="D78" s="57"/>
      <c r="E78" s="211">
        <f>Source!AF32</f>
        <v>423.7175</v>
      </c>
      <c r="F78" s="211"/>
      <c r="G78" s="211">
        <f>Source!AE32</f>
        <v>328.175</v>
      </c>
      <c r="H78" s="211"/>
      <c r="I78" s="59"/>
      <c r="J78" s="60"/>
      <c r="K78" s="60"/>
      <c r="L78" s="61"/>
      <c r="M78" s="62">
        <f>Source!R32</f>
        <v>582.49</v>
      </c>
      <c r="N78" s="62"/>
      <c r="O78" s="62"/>
      <c r="P78" s="63">
        <f>Source!V32</f>
        <v>8.569305</v>
      </c>
      <c r="Q78" s="64"/>
    </row>
    <row r="79" spans="1:17" ht="15.75">
      <c r="A79" s="65"/>
      <c r="B79" s="66"/>
      <c r="C79" s="212" t="s">
        <v>514</v>
      </c>
      <c r="D79" s="212"/>
      <c r="E79" s="67">
        <f>Source!BA32</f>
        <v>4.94</v>
      </c>
      <c r="F79" s="68" t="s">
        <v>515</v>
      </c>
      <c r="G79" s="69">
        <f>Source!AF32</f>
        <v>423.7175</v>
      </c>
      <c r="H79" s="68" t="s">
        <v>515</v>
      </c>
      <c r="I79" s="70">
        <f>Source!I32</f>
        <v>0.3593</v>
      </c>
      <c r="J79" s="71" t="s">
        <v>516</v>
      </c>
      <c r="K79" s="72">
        <f>Source!S32</f>
        <v>752.07</v>
      </c>
      <c r="L79" s="73"/>
      <c r="M79" s="74"/>
      <c r="N79" s="75"/>
      <c r="O79" s="75"/>
      <c r="P79" s="76"/>
      <c r="Q79" s="77"/>
    </row>
    <row r="80" spans="1:17" ht="15.75">
      <c r="A80" s="65"/>
      <c r="B80" s="66"/>
      <c r="C80" s="213" t="s">
        <v>517</v>
      </c>
      <c r="D80" s="213"/>
      <c r="E80" s="67">
        <f>Source!BB32</f>
        <v>4.94</v>
      </c>
      <c r="F80" s="68" t="s">
        <v>515</v>
      </c>
      <c r="G80" s="69">
        <f>Source!AD32</f>
        <v>2982.7749999999996</v>
      </c>
      <c r="H80" s="68" t="s">
        <v>515</v>
      </c>
      <c r="I80" s="70">
        <f>Source!I32</f>
        <v>0.3593</v>
      </c>
      <c r="J80" s="71" t="s">
        <v>516</v>
      </c>
      <c r="K80" s="72">
        <f>Source!Q32</f>
        <v>5294.25</v>
      </c>
      <c r="L80" s="73"/>
      <c r="M80" s="74"/>
      <c r="N80" s="74"/>
      <c r="O80" s="74"/>
      <c r="P80" s="78"/>
      <c r="Q80" s="79"/>
    </row>
    <row r="81" spans="1:17" ht="15.75">
      <c r="A81" s="65"/>
      <c r="B81" s="66"/>
      <c r="C81" s="213" t="s">
        <v>518</v>
      </c>
      <c r="D81" s="213"/>
      <c r="E81" s="67">
        <f>Source!BS32</f>
        <v>4.94</v>
      </c>
      <c r="F81" s="68" t="s">
        <v>515</v>
      </c>
      <c r="G81" s="69">
        <f>Source!AE32</f>
        <v>328.175</v>
      </c>
      <c r="H81" s="68" t="s">
        <v>515</v>
      </c>
      <c r="I81" s="70">
        <f>Source!I32</f>
        <v>0.3593</v>
      </c>
      <c r="J81" s="71" t="s">
        <v>516</v>
      </c>
      <c r="K81" s="72">
        <f>Source!R32</f>
        <v>582.49</v>
      </c>
      <c r="L81" s="73"/>
      <c r="M81" s="74"/>
      <c r="N81" s="74"/>
      <c r="O81" s="74"/>
      <c r="P81" s="78"/>
      <c r="Q81" s="79"/>
    </row>
    <row r="82" spans="1:17" ht="15.75">
      <c r="A82" s="65"/>
      <c r="B82" s="66"/>
      <c r="C82" s="213" t="s">
        <v>519</v>
      </c>
      <c r="D82" s="213"/>
      <c r="E82" s="67">
        <f>Source!BC32</f>
        <v>4.94</v>
      </c>
      <c r="F82" s="68" t="s">
        <v>515</v>
      </c>
      <c r="G82" s="69">
        <f>Source!AC32</f>
        <v>53578.71</v>
      </c>
      <c r="H82" s="68" t="s">
        <v>515</v>
      </c>
      <c r="I82" s="70">
        <f>Source!I32</f>
        <v>0.3593</v>
      </c>
      <c r="J82" s="71" t="s">
        <v>516</v>
      </c>
      <c r="K82" s="72">
        <f>Source!P32</f>
        <v>95099.1</v>
      </c>
      <c r="L82" s="73"/>
      <c r="M82" s="74"/>
      <c r="N82" s="74"/>
      <c r="O82" s="74"/>
      <c r="P82" s="80"/>
      <c r="Q82" s="79"/>
    </row>
    <row r="83" spans="1:17" ht="17.25">
      <c r="A83" s="81"/>
      <c r="B83" s="82"/>
      <c r="C83" s="214" t="s">
        <v>104</v>
      </c>
      <c r="D83" s="214"/>
      <c r="E83" s="214"/>
      <c r="F83" s="83"/>
      <c r="G83" s="215">
        <f>Source!AT32/100</f>
        <v>1.42</v>
      </c>
      <c r="H83" s="215"/>
      <c r="I83" s="216" t="s">
        <v>520</v>
      </c>
      <c r="J83" s="216"/>
      <c r="K83" s="58">
        <f>M83+M84</f>
        <v>1334.56</v>
      </c>
      <c r="L83" s="84"/>
      <c r="M83" s="85">
        <f>Source!S32</f>
        <v>752.07</v>
      </c>
      <c r="N83" s="217">
        <f>Source!X32</f>
        <v>1895.08</v>
      </c>
      <c r="O83" s="216"/>
      <c r="P83" s="218"/>
      <c r="Q83" s="86"/>
    </row>
    <row r="84" spans="1:17" ht="17.25">
      <c r="A84" s="87"/>
      <c r="B84" s="88"/>
      <c r="C84" s="214" t="s">
        <v>106</v>
      </c>
      <c r="D84" s="214"/>
      <c r="E84" s="214"/>
      <c r="F84" s="89"/>
      <c r="G84" s="215">
        <f>Source!AU32/100</f>
        <v>0.81</v>
      </c>
      <c r="H84" s="215"/>
      <c r="I84" s="216" t="s">
        <v>520</v>
      </c>
      <c r="J84" s="216"/>
      <c r="K84" s="58">
        <f>M83+M84</f>
        <v>1334.56</v>
      </c>
      <c r="L84" s="84"/>
      <c r="M84" s="85">
        <f>Source!R32</f>
        <v>582.49</v>
      </c>
      <c r="N84" s="217">
        <f>Source!Y32</f>
        <v>1080.99</v>
      </c>
      <c r="O84" s="216"/>
      <c r="P84" s="218"/>
      <c r="Q84" s="86"/>
    </row>
    <row r="85" spans="1:17" ht="85.5">
      <c r="A85" s="47" t="str">
        <f>Source!E33</f>
        <v>5</v>
      </c>
      <c r="B85" s="48" t="str">
        <f>IF(Source!BJ33&lt;&gt;"",SUBSTITUTE(SUBSTITUTE(SUBSTITUTE(SUBSTITUTE(SUBSTITUTE(SUBSTITUTE(Source!BJ33,",",""),"сб."," "),"гл.","-"),"табл.","-"),"поз.","-"),"разд.","-"),Source!F33)&amp;" Кэмм*1,25"&amp;" Кзпм*1,25"&amp;" Козп*1,15"&amp;" Ктзс*1,15"&amp;" Ктзм*1,25"</f>
        <v>ФЕР 2009  27-06-021-5 Кэмм*1,25 Кзпм*1,25 Козп*1,15 Ктзс*1,15 Ктзм*1,25</v>
      </c>
      <c r="C85" s="49" t="str">
        <f>Source!G33</f>
        <v>На каждые 0,5 см изменения толщины покрытия добавлять или исключать к расценке 27-06-020-05 (до 5 см)</v>
      </c>
      <c r="D85" s="50">
        <f>Source!I33</f>
        <v>0.7186</v>
      </c>
      <c r="E85" s="223">
        <f>Source!AB33</f>
        <v>6694.7405</v>
      </c>
      <c r="F85" s="223"/>
      <c r="G85" s="223">
        <f>Source!AD33</f>
        <v>3.65</v>
      </c>
      <c r="H85" s="223"/>
      <c r="I85" s="90">
        <f>Source!AC33</f>
        <v>6690.09</v>
      </c>
      <c r="J85" s="224">
        <f>Source!O33</f>
        <v>23765.55</v>
      </c>
      <c r="K85" s="224"/>
      <c r="L85" s="51">
        <f>Source!S33</f>
        <v>3.55</v>
      </c>
      <c r="M85" s="91">
        <f>Source!Q33</f>
        <v>12.96</v>
      </c>
      <c r="N85" s="92">
        <f>Source!P33</f>
        <v>23749.04</v>
      </c>
      <c r="O85" s="52"/>
      <c r="P85" s="93">
        <f>Source!U33</f>
        <v>0.0743751</v>
      </c>
      <c r="Q85" s="53"/>
    </row>
    <row r="86" spans="1:17" ht="15.75">
      <c r="A86" s="54"/>
      <c r="B86" s="55"/>
      <c r="C86" s="56" t="str">
        <f>Source!H33</f>
        <v>1000 м2</v>
      </c>
      <c r="D86" s="57"/>
      <c r="E86" s="211">
        <f>Source!AF33</f>
        <v>1.0005</v>
      </c>
      <c r="F86" s="211"/>
      <c r="G86" s="211">
        <f>Source!AE33</f>
        <v>0</v>
      </c>
      <c r="H86" s="211"/>
      <c r="I86" s="59"/>
      <c r="J86" s="60"/>
      <c r="K86" s="60"/>
      <c r="L86" s="61"/>
      <c r="M86" s="62">
        <f>Source!R33</f>
        <v>0</v>
      </c>
      <c r="N86" s="62"/>
      <c r="O86" s="62"/>
      <c r="P86" s="63">
        <f>Source!V33</f>
        <v>0</v>
      </c>
      <c r="Q86" s="64"/>
    </row>
    <row r="87" spans="1:17" ht="15.75">
      <c r="A87" s="65"/>
      <c r="B87" s="66"/>
      <c r="C87" s="212" t="s">
        <v>514</v>
      </c>
      <c r="D87" s="212"/>
      <c r="E87" s="67">
        <f>Source!BA33</f>
        <v>4.94</v>
      </c>
      <c r="F87" s="68" t="s">
        <v>515</v>
      </c>
      <c r="G87" s="69">
        <f>Source!AF33</f>
        <v>1.0005</v>
      </c>
      <c r="H87" s="68" t="s">
        <v>515</v>
      </c>
      <c r="I87" s="70">
        <f>Source!I33</f>
        <v>0.7186</v>
      </c>
      <c r="J87" s="71" t="s">
        <v>516</v>
      </c>
      <c r="K87" s="72">
        <f>Source!S33</f>
        <v>3.55</v>
      </c>
      <c r="L87" s="73"/>
      <c r="M87" s="74"/>
      <c r="N87" s="75"/>
      <c r="O87" s="75"/>
      <c r="P87" s="76"/>
      <c r="Q87" s="77"/>
    </row>
    <row r="88" spans="1:17" ht="15.75">
      <c r="A88" s="65"/>
      <c r="B88" s="66"/>
      <c r="C88" s="213" t="s">
        <v>517</v>
      </c>
      <c r="D88" s="213"/>
      <c r="E88" s="67">
        <f>Source!BB33</f>
        <v>4.94</v>
      </c>
      <c r="F88" s="68" t="s">
        <v>515</v>
      </c>
      <c r="G88" s="69">
        <f>Source!AD33</f>
        <v>3.65</v>
      </c>
      <c r="H88" s="68" t="s">
        <v>515</v>
      </c>
      <c r="I88" s="70">
        <f>Source!I33</f>
        <v>0.7186</v>
      </c>
      <c r="J88" s="71" t="s">
        <v>516</v>
      </c>
      <c r="K88" s="72">
        <f>Source!Q33</f>
        <v>12.96</v>
      </c>
      <c r="L88" s="73"/>
      <c r="M88" s="74"/>
      <c r="N88" s="74"/>
      <c r="O88" s="74"/>
      <c r="P88" s="78"/>
      <c r="Q88" s="79"/>
    </row>
    <row r="89" spans="1:17" ht="15.75">
      <c r="A89" s="65"/>
      <c r="B89" s="66"/>
      <c r="C89" s="213" t="s">
        <v>518</v>
      </c>
      <c r="D89" s="213"/>
      <c r="E89" s="67">
        <f>Source!BS33</f>
        <v>4.94</v>
      </c>
      <c r="F89" s="68" t="s">
        <v>515</v>
      </c>
      <c r="G89" s="69">
        <f>Source!AE33</f>
        <v>0</v>
      </c>
      <c r="H89" s="68" t="s">
        <v>515</v>
      </c>
      <c r="I89" s="70">
        <f>Source!I33</f>
        <v>0.7186</v>
      </c>
      <c r="J89" s="71" t="s">
        <v>516</v>
      </c>
      <c r="K89" s="72">
        <f>Source!R33</f>
        <v>0</v>
      </c>
      <c r="L89" s="73"/>
      <c r="M89" s="74"/>
      <c r="N89" s="74"/>
      <c r="O89" s="74"/>
      <c r="P89" s="78"/>
      <c r="Q89" s="79"/>
    </row>
    <row r="90" spans="1:17" ht="15.75">
      <c r="A90" s="65"/>
      <c r="B90" s="66"/>
      <c r="C90" s="213" t="s">
        <v>519</v>
      </c>
      <c r="D90" s="213"/>
      <c r="E90" s="67">
        <f>Source!BC33</f>
        <v>4.94</v>
      </c>
      <c r="F90" s="68" t="s">
        <v>515</v>
      </c>
      <c r="G90" s="69">
        <f>Source!AC33</f>
        <v>6690.09</v>
      </c>
      <c r="H90" s="68" t="s">
        <v>515</v>
      </c>
      <c r="I90" s="70">
        <f>Source!I33</f>
        <v>0.7186</v>
      </c>
      <c r="J90" s="71" t="s">
        <v>516</v>
      </c>
      <c r="K90" s="72">
        <f>Source!P33</f>
        <v>23749.04</v>
      </c>
      <c r="L90" s="73"/>
      <c r="M90" s="74"/>
      <c r="N90" s="74"/>
      <c r="O90" s="74"/>
      <c r="P90" s="80"/>
      <c r="Q90" s="79"/>
    </row>
    <row r="91" spans="1:17" ht="17.25">
      <c r="A91" s="81"/>
      <c r="B91" s="82"/>
      <c r="C91" s="214" t="s">
        <v>104</v>
      </c>
      <c r="D91" s="214"/>
      <c r="E91" s="214"/>
      <c r="F91" s="83"/>
      <c r="G91" s="215">
        <f>Source!AT33/100</f>
        <v>1.42</v>
      </c>
      <c r="H91" s="215"/>
      <c r="I91" s="216" t="s">
        <v>520</v>
      </c>
      <c r="J91" s="216"/>
      <c r="K91" s="58">
        <f>M91+M92</f>
        <v>3.55</v>
      </c>
      <c r="L91" s="84"/>
      <c r="M91" s="85">
        <f>Source!S33</f>
        <v>3.55</v>
      </c>
      <c r="N91" s="217">
        <f>Source!X33</f>
        <v>5.04</v>
      </c>
      <c r="O91" s="216"/>
      <c r="P91" s="218"/>
      <c r="Q91" s="86"/>
    </row>
    <row r="92" spans="1:17" ht="17.25">
      <c r="A92" s="87"/>
      <c r="B92" s="88"/>
      <c r="C92" s="214" t="s">
        <v>106</v>
      </c>
      <c r="D92" s="214"/>
      <c r="E92" s="214"/>
      <c r="F92" s="89"/>
      <c r="G92" s="215">
        <f>Source!AU33/100</f>
        <v>0.81</v>
      </c>
      <c r="H92" s="215"/>
      <c r="I92" s="216" t="s">
        <v>520</v>
      </c>
      <c r="J92" s="216"/>
      <c r="K92" s="58">
        <f>M91+M92</f>
        <v>3.55</v>
      </c>
      <c r="L92" s="84"/>
      <c r="M92" s="85">
        <f>Source!R33</f>
        <v>0</v>
      </c>
      <c r="N92" s="217">
        <f>Source!Y33</f>
        <v>2.88</v>
      </c>
      <c r="O92" s="216"/>
      <c r="P92" s="218"/>
      <c r="Q92" s="86"/>
    </row>
    <row r="93" spans="1:17" ht="78.75">
      <c r="A93" s="47" t="str">
        <f>Source!E34</f>
        <v>6</v>
      </c>
      <c r="B93" s="48" t="str">
        <f>IF(Source!BJ34&lt;&gt;"",SUBSTITUTE(SUBSTITUTE(SUBSTITUTE(SUBSTITUTE(SUBSTITUTE(SUBSTITUTE(Source!BJ34,",",""),"сб."," "),"гл.","-"),"табл.","-"),"поз.","-"),"разд.","-"),Source!F34)</f>
        <v>ФЕРр 2009  68-10-2</v>
      </c>
      <c r="C93" s="49" t="str">
        <f>Source!G34</f>
        <v>Устройство выравнивающего слоя из асфальтобетонной смеси: без применения укладчиков асфальтобетона</v>
      </c>
      <c r="D93" s="50">
        <f>Source!I34</f>
        <v>0.1611</v>
      </c>
      <c r="E93" s="223">
        <f>Source!AB34</f>
        <v>50517.35</v>
      </c>
      <c r="F93" s="223"/>
      <c r="G93" s="223">
        <f>Source!AD34</f>
        <v>3228.78</v>
      </c>
      <c r="H93" s="223"/>
      <c r="I93" s="90">
        <f>Source!AC34</f>
        <v>46463.94</v>
      </c>
      <c r="J93" s="224">
        <f>Source!O34</f>
        <v>40203.42</v>
      </c>
      <c r="K93" s="224"/>
      <c r="L93" s="51">
        <f>Source!S34</f>
        <v>656.27</v>
      </c>
      <c r="M93" s="91">
        <f>Source!Q34</f>
        <v>2569.57</v>
      </c>
      <c r="N93" s="92">
        <f>Source!P34</f>
        <v>36977.58</v>
      </c>
      <c r="O93" s="52"/>
      <c r="P93" s="93">
        <f>Source!U34</f>
        <v>13.809491999999999</v>
      </c>
      <c r="Q93" s="53"/>
    </row>
    <row r="94" spans="1:17" ht="15.75">
      <c r="A94" s="54"/>
      <c r="B94" s="55"/>
      <c r="C94" s="56" t="str">
        <f>Source!H34</f>
        <v>100 т</v>
      </c>
      <c r="D94" s="57"/>
      <c r="E94" s="211">
        <f>Source!AF34</f>
        <v>824.63</v>
      </c>
      <c r="F94" s="211"/>
      <c r="G94" s="211">
        <f>Source!AE34</f>
        <v>414.6</v>
      </c>
      <c r="H94" s="211"/>
      <c r="I94" s="59"/>
      <c r="J94" s="60"/>
      <c r="K94" s="60"/>
      <c r="L94" s="61"/>
      <c r="M94" s="62">
        <f>Source!R34</f>
        <v>329.95</v>
      </c>
      <c r="N94" s="62"/>
      <c r="O94" s="62"/>
      <c r="P94" s="63">
        <f>Source!V34</f>
        <v>5.029541999999999</v>
      </c>
      <c r="Q94" s="64"/>
    </row>
    <row r="95" spans="1:17" ht="15.75">
      <c r="A95" s="65"/>
      <c r="B95" s="66"/>
      <c r="C95" s="212" t="s">
        <v>514</v>
      </c>
      <c r="D95" s="212"/>
      <c r="E95" s="67">
        <f>Source!BA34</f>
        <v>4.94</v>
      </c>
      <c r="F95" s="68" t="s">
        <v>515</v>
      </c>
      <c r="G95" s="69">
        <f>Source!AF34</f>
        <v>824.63</v>
      </c>
      <c r="H95" s="68" t="s">
        <v>515</v>
      </c>
      <c r="I95" s="70">
        <f>Source!I34</f>
        <v>0.1611</v>
      </c>
      <c r="J95" s="71" t="s">
        <v>516</v>
      </c>
      <c r="K95" s="72">
        <f>Source!S34</f>
        <v>656.27</v>
      </c>
      <c r="L95" s="73"/>
      <c r="M95" s="74"/>
      <c r="N95" s="75"/>
      <c r="O95" s="75"/>
      <c r="P95" s="76"/>
      <c r="Q95" s="77"/>
    </row>
    <row r="96" spans="1:17" ht="15.75">
      <c r="A96" s="65"/>
      <c r="B96" s="66"/>
      <c r="C96" s="213" t="s">
        <v>517</v>
      </c>
      <c r="D96" s="213"/>
      <c r="E96" s="67">
        <f>Source!BB34</f>
        <v>4.94</v>
      </c>
      <c r="F96" s="68" t="s">
        <v>515</v>
      </c>
      <c r="G96" s="69">
        <f>Source!AD34</f>
        <v>3228.78</v>
      </c>
      <c r="H96" s="68" t="s">
        <v>515</v>
      </c>
      <c r="I96" s="70">
        <f>Source!I34</f>
        <v>0.1611</v>
      </c>
      <c r="J96" s="71" t="s">
        <v>516</v>
      </c>
      <c r="K96" s="72">
        <f>Source!Q34</f>
        <v>2569.57</v>
      </c>
      <c r="L96" s="73"/>
      <c r="M96" s="74"/>
      <c r="N96" s="74"/>
      <c r="O96" s="74"/>
      <c r="P96" s="78"/>
      <c r="Q96" s="79"/>
    </row>
    <row r="97" spans="1:17" ht="15.75">
      <c r="A97" s="65"/>
      <c r="B97" s="66"/>
      <c r="C97" s="213" t="s">
        <v>518</v>
      </c>
      <c r="D97" s="213"/>
      <c r="E97" s="67">
        <f>Source!BS34</f>
        <v>4.94</v>
      </c>
      <c r="F97" s="68" t="s">
        <v>515</v>
      </c>
      <c r="G97" s="69">
        <f>Source!AE34</f>
        <v>414.6</v>
      </c>
      <c r="H97" s="68" t="s">
        <v>515</v>
      </c>
      <c r="I97" s="70">
        <f>Source!I34</f>
        <v>0.1611</v>
      </c>
      <c r="J97" s="71" t="s">
        <v>516</v>
      </c>
      <c r="K97" s="72">
        <f>Source!R34</f>
        <v>329.95</v>
      </c>
      <c r="L97" s="73"/>
      <c r="M97" s="74"/>
      <c r="N97" s="74"/>
      <c r="O97" s="74"/>
      <c r="P97" s="78"/>
      <c r="Q97" s="79"/>
    </row>
    <row r="98" spans="1:17" ht="15.75">
      <c r="A98" s="65"/>
      <c r="B98" s="66"/>
      <c r="C98" s="213" t="s">
        <v>519</v>
      </c>
      <c r="D98" s="213"/>
      <c r="E98" s="67">
        <f>Source!BC34</f>
        <v>4.94</v>
      </c>
      <c r="F98" s="68" t="s">
        <v>515</v>
      </c>
      <c r="G98" s="69">
        <f>Source!AC34</f>
        <v>46463.94</v>
      </c>
      <c r="H98" s="68" t="s">
        <v>515</v>
      </c>
      <c r="I98" s="70">
        <f>Source!I34</f>
        <v>0.1611</v>
      </c>
      <c r="J98" s="71" t="s">
        <v>516</v>
      </c>
      <c r="K98" s="72">
        <f>Source!P34</f>
        <v>36977.58</v>
      </c>
      <c r="L98" s="73"/>
      <c r="M98" s="74"/>
      <c r="N98" s="74"/>
      <c r="O98" s="74"/>
      <c r="P98" s="80"/>
      <c r="Q98" s="79"/>
    </row>
    <row r="99" spans="1:17" ht="17.25">
      <c r="A99" s="81"/>
      <c r="B99" s="82"/>
      <c r="C99" s="214" t="s">
        <v>104</v>
      </c>
      <c r="D99" s="214"/>
      <c r="E99" s="214"/>
      <c r="F99" s="83"/>
      <c r="G99" s="215">
        <f>Source!AT34/100</f>
        <v>1.04</v>
      </c>
      <c r="H99" s="215"/>
      <c r="I99" s="216" t="s">
        <v>520</v>
      </c>
      <c r="J99" s="216"/>
      <c r="K99" s="58">
        <f>M99+M100</f>
        <v>986.22</v>
      </c>
      <c r="L99" s="84"/>
      <c r="M99" s="85">
        <f>Source!S34</f>
        <v>656.27</v>
      </c>
      <c r="N99" s="217">
        <f>Source!X34</f>
        <v>1025.67</v>
      </c>
      <c r="O99" s="216"/>
      <c r="P99" s="218"/>
      <c r="Q99" s="86"/>
    </row>
    <row r="100" spans="1:17" ht="17.25">
      <c r="A100" s="87"/>
      <c r="B100" s="88"/>
      <c r="C100" s="214" t="s">
        <v>106</v>
      </c>
      <c r="D100" s="214"/>
      <c r="E100" s="214"/>
      <c r="F100" s="89"/>
      <c r="G100" s="215">
        <f>Source!AU34/100</f>
        <v>0.6</v>
      </c>
      <c r="H100" s="215"/>
      <c r="I100" s="216" t="s">
        <v>520</v>
      </c>
      <c r="J100" s="216"/>
      <c r="K100" s="58">
        <f>M99+M100</f>
        <v>986.22</v>
      </c>
      <c r="L100" s="84"/>
      <c r="M100" s="85">
        <f>Source!R34</f>
        <v>329.95</v>
      </c>
      <c r="N100" s="217">
        <f>Source!Y34</f>
        <v>591.73</v>
      </c>
      <c r="O100" s="216"/>
      <c r="P100" s="218"/>
      <c r="Q100" s="86"/>
    </row>
    <row r="101" spans="1:17" ht="110.25">
      <c r="A101" s="94" t="str">
        <f>Source!E35</f>
        <v>6,1</v>
      </c>
      <c r="B101" s="95" t="str">
        <f>IF(Source!BJ35&lt;&gt;"",SUBSTITUTE(SUBSTITUTE(SUBSTITUTE(SUBSTITUTE(SUBSTITUTE(SUBSTITUTE(Source!BJ35,",",""),"сб."," "),"гл.","-"),"табл.","-"),"поз.","-"),"разд.","-"),Source!F35)</f>
        <v>ФССЦ (2010) ч.4 раздел10 -0021</v>
      </c>
      <c r="C101" s="96" t="str">
        <f>Source!G35</f>
        <v>Асфальтобетонные смеси дорожные, аэродромные и асфальтобетон (горячие и теплые для пористого асфальтобетона щебеночные и гравийные), марка I</v>
      </c>
      <c r="D101" s="219">
        <f>Source!I35</f>
        <v>-16.2711</v>
      </c>
      <c r="E101" s="221"/>
      <c r="F101" s="221"/>
      <c r="G101" s="97"/>
      <c r="H101" s="97"/>
      <c r="I101" s="98">
        <f>Source!AC35</f>
        <v>459.91</v>
      </c>
      <c r="J101" s="221"/>
      <c r="K101" s="221"/>
      <c r="L101" s="98"/>
      <c r="M101" s="98"/>
      <c r="N101" s="98">
        <f>Source!P35</f>
        <v>-36967.21</v>
      </c>
      <c r="O101" s="99"/>
      <c r="P101" s="100"/>
      <c r="Q101" s="101"/>
    </row>
    <row r="102" spans="1:17" ht="15.75">
      <c r="A102" s="102"/>
      <c r="B102" s="103"/>
      <c r="C102" s="104" t="str">
        <f>IF(Source!DW35="",Source!H35,Source!DW35)</f>
        <v>т</v>
      </c>
      <c r="D102" s="220"/>
      <c r="E102" s="220"/>
      <c r="F102" s="220"/>
      <c r="G102" s="105"/>
      <c r="H102" s="105"/>
      <c r="I102" s="105"/>
      <c r="J102" s="222"/>
      <c r="K102" s="222"/>
      <c r="L102" s="106"/>
      <c r="M102" s="106"/>
      <c r="N102" s="106"/>
      <c r="O102" s="107"/>
      <c r="P102" s="108"/>
      <c r="Q102" s="109"/>
    </row>
    <row r="103" spans="1:17" ht="47.25">
      <c r="A103" s="94" t="str">
        <f>Source!E36</f>
        <v>6,2</v>
      </c>
      <c r="B103" s="95" t="str">
        <f>IF(Source!BJ36&lt;&gt;"",SUBSTITUTE(SUBSTITUTE(SUBSTITUTE(SUBSTITUTE(SUBSTITUTE(SUBSTITUTE(Source!BJ36,",",""),"сб."," "),"гл.","-"),"табл.","-"),"поз.","-"),"разд.","-"),Source!F36)</f>
        <v>ФССЦ (2010) ч.4 раздел10 -0008</v>
      </c>
      <c r="C103" s="96" t="str">
        <f>Source!G36</f>
        <v>Асфальтобетонные смеси дорожные, марка II, тип Г</v>
      </c>
      <c r="D103" s="219">
        <f>Source!I36</f>
        <v>16.2711</v>
      </c>
      <c r="E103" s="221"/>
      <c r="F103" s="221"/>
      <c r="G103" s="97"/>
      <c r="H103" s="97"/>
      <c r="I103" s="98">
        <f>Source!AC36</f>
        <v>571.6</v>
      </c>
      <c r="J103" s="221"/>
      <c r="K103" s="221"/>
      <c r="L103" s="98"/>
      <c r="M103" s="98"/>
      <c r="N103" s="98">
        <f>Source!P36</f>
        <v>45944.77</v>
      </c>
      <c r="O103" s="99"/>
      <c r="P103" s="100"/>
      <c r="Q103" s="101"/>
    </row>
    <row r="104" spans="1:17" ht="15.75">
      <c r="A104" s="102"/>
      <c r="B104" s="103"/>
      <c r="C104" s="104" t="str">
        <f>IF(Source!DW36="",Source!H36,Source!DW36)</f>
        <v>т</v>
      </c>
      <c r="D104" s="220"/>
      <c r="E104" s="220"/>
      <c r="F104" s="220"/>
      <c r="G104" s="105"/>
      <c r="H104" s="105"/>
      <c r="I104" s="105"/>
      <c r="J104" s="222"/>
      <c r="K104" s="222"/>
      <c r="L104" s="106"/>
      <c r="M104" s="106"/>
      <c r="N104" s="106"/>
      <c r="O104" s="107"/>
      <c r="P104" s="108"/>
      <c r="Q104" s="109"/>
    </row>
    <row r="105" spans="1:17" ht="110.25">
      <c r="A105" s="47" t="str">
        <f>Source!E37</f>
        <v>7</v>
      </c>
      <c r="B105" s="48" t="str">
        <f>IF(Source!BJ37&lt;&gt;"",SUBSTITUTE(SUBSTITUTE(SUBSTITUTE(SUBSTITUTE(SUBSTITUTE(SUBSTITUTE(Source!BJ37,",",""),"сб."," "),"гл.","-"),"табл.","-"),"поз.","-"),"разд.","-"),Source!F37)&amp;" Кэмм*1,25"&amp;" Кзпм*1,25"&amp;" Козп*1,15"&amp;" Ктзс*1,15"&amp;" Ктзм*1,25"</f>
        <v>ФЕР 2009  27-07-001-1 Кэмм*1,25 Кзпм*1,25 Козп*1,15 Ктзс*1,15 Ктзм*1,25</v>
      </c>
      <c r="C105" s="49" t="str">
        <f>Source!G37</f>
        <v>Устройство асфальтобетонных покрытий дорожек и тротуаров однослойных из литой мелкозернистой асфальто-бетонной смеси толщиной 3 см</v>
      </c>
      <c r="D105" s="50">
        <f>Source!I37</f>
        <v>3.4</v>
      </c>
      <c r="E105" s="223">
        <f>Source!AB37</f>
        <v>3601.999</v>
      </c>
      <c r="F105" s="223"/>
      <c r="G105" s="223">
        <f>Source!AD37</f>
        <v>72.1</v>
      </c>
      <c r="H105" s="223"/>
      <c r="I105" s="90">
        <f>Source!AC37</f>
        <v>3368.37</v>
      </c>
      <c r="J105" s="224">
        <f>Source!O37</f>
        <v>60499.17</v>
      </c>
      <c r="K105" s="224"/>
      <c r="L105" s="51">
        <f>Source!S37</f>
        <v>2713.04</v>
      </c>
      <c r="M105" s="91">
        <f>Source!Q37</f>
        <v>1210.99</v>
      </c>
      <c r="N105" s="92">
        <f>Source!P37</f>
        <v>56575.14</v>
      </c>
      <c r="O105" s="52"/>
      <c r="P105" s="93">
        <f>Source!U37</f>
        <v>59.11919999999999</v>
      </c>
      <c r="Q105" s="53"/>
    </row>
    <row r="106" spans="1:17" ht="15.75">
      <c r="A106" s="54"/>
      <c r="B106" s="55"/>
      <c r="C106" s="56" t="str">
        <f>Source!H37</f>
        <v>100 м2</v>
      </c>
      <c r="D106" s="57"/>
      <c r="E106" s="211">
        <f>Source!AF37</f>
        <v>161.529</v>
      </c>
      <c r="F106" s="211"/>
      <c r="G106" s="211">
        <f>Source!AE37</f>
        <v>0.7124999999999999</v>
      </c>
      <c r="H106" s="211"/>
      <c r="I106" s="59"/>
      <c r="J106" s="60"/>
      <c r="K106" s="60"/>
      <c r="L106" s="61"/>
      <c r="M106" s="62">
        <f>Source!R37</f>
        <v>11.97</v>
      </c>
      <c r="N106" s="62"/>
      <c r="O106" s="62"/>
      <c r="P106" s="63">
        <f>Source!V37</f>
        <v>0.2125</v>
      </c>
      <c r="Q106" s="64"/>
    </row>
    <row r="107" spans="1:17" ht="15.75">
      <c r="A107" s="65"/>
      <c r="B107" s="66"/>
      <c r="C107" s="212" t="s">
        <v>514</v>
      </c>
      <c r="D107" s="212"/>
      <c r="E107" s="67">
        <f>Source!BA37</f>
        <v>4.94</v>
      </c>
      <c r="F107" s="68" t="s">
        <v>515</v>
      </c>
      <c r="G107" s="69">
        <f>Source!AF37</f>
        <v>161.529</v>
      </c>
      <c r="H107" s="68" t="s">
        <v>515</v>
      </c>
      <c r="I107" s="70">
        <f>Source!I37</f>
        <v>3.4</v>
      </c>
      <c r="J107" s="71" t="s">
        <v>516</v>
      </c>
      <c r="K107" s="72">
        <f>Source!S37</f>
        <v>2713.04</v>
      </c>
      <c r="L107" s="73"/>
      <c r="M107" s="74"/>
      <c r="N107" s="75"/>
      <c r="O107" s="75"/>
      <c r="P107" s="76"/>
      <c r="Q107" s="77"/>
    </row>
    <row r="108" spans="1:17" ht="15.75">
      <c r="A108" s="65"/>
      <c r="B108" s="66"/>
      <c r="C108" s="213" t="s">
        <v>517</v>
      </c>
      <c r="D108" s="213"/>
      <c r="E108" s="67">
        <f>Source!BB37</f>
        <v>4.94</v>
      </c>
      <c r="F108" s="68" t="s">
        <v>515</v>
      </c>
      <c r="G108" s="69">
        <f>Source!AD37</f>
        <v>72.1</v>
      </c>
      <c r="H108" s="68" t="s">
        <v>515</v>
      </c>
      <c r="I108" s="70">
        <f>Source!I37</f>
        <v>3.4</v>
      </c>
      <c r="J108" s="71" t="s">
        <v>516</v>
      </c>
      <c r="K108" s="72">
        <f>Source!Q37</f>
        <v>1210.99</v>
      </c>
      <c r="L108" s="73"/>
      <c r="M108" s="74"/>
      <c r="N108" s="74"/>
      <c r="O108" s="74"/>
      <c r="P108" s="78"/>
      <c r="Q108" s="79"/>
    </row>
    <row r="109" spans="1:17" ht="15.75">
      <c r="A109" s="65"/>
      <c r="B109" s="66"/>
      <c r="C109" s="213" t="s">
        <v>518</v>
      </c>
      <c r="D109" s="213"/>
      <c r="E109" s="67">
        <f>Source!BS37</f>
        <v>4.94</v>
      </c>
      <c r="F109" s="68" t="s">
        <v>515</v>
      </c>
      <c r="G109" s="69">
        <f>Source!AE37</f>
        <v>0.7124999999999999</v>
      </c>
      <c r="H109" s="68" t="s">
        <v>515</v>
      </c>
      <c r="I109" s="70">
        <f>Source!I37</f>
        <v>3.4</v>
      </c>
      <c r="J109" s="71" t="s">
        <v>516</v>
      </c>
      <c r="K109" s="72">
        <f>Source!R37</f>
        <v>11.97</v>
      </c>
      <c r="L109" s="73"/>
      <c r="M109" s="74"/>
      <c r="N109" s="74"/>
      <c r="O109" s="74"/>
      <c r="P109" s="78"/>
      <c r="Q109" s="79"/>
    </row>
    <row r="110" spans="1:17" ht="15.75">
      <c r="A110" s="65"/>
      <c r="B110" s="66"/>
      <c r="C110" s="213" t="s">
        <v>519</v>
      </c>
      <c r="D110" s="213"/>
      <c r="E110" s="67">
        <f>Source!BC37</f>
        <v>4.94</v>
      </c>
      <c r="F110" s="68" t="s">
        <v>515</v>
      </c>
      <c r="G110" s="69">
        <f>Source!AC37</f>
        <v>3368.37</v>
      </c>
      <c r="H110" s="68" t="s">
        <v>515</v>
      </c>
      <c r="I110" s="70">
        <f>Source!I37</f>
        <v>3.4</v>
      </c>
      <c r="J110" s="71" t="s">
        <v>516</v>
      </c>
      <c r="K110" s="72">
        <f>Source!P37</f>
        <v>56575.14</v>
      </c>
      <c r="L110" s="73"/>
      <c r="M110" s="74"/>
      <c r="N110" s="74"/>
      <c r="O110" s="74"/>
      <c r="P110" s="80"/>
      <c r="Q110" s="79"/>
    </row>
    <row r="111" spans="1:17" ht="17.25">
      <c r="A111" s="81"/>
      <c r="B111" s="82"/>
      <c r="C111" s="214" t="s">
        <v>104</v>
      </c>
      <c r="D111" s="214"/>
      <c r="E111" s="214"/>
      <c r="F111" s="83"/>
      <c r="G111" s="215">
        <f>Source!AT37/100</f>
        <v>1.42</v>
      </c>
      <c r="H111" s="215"/>
      <c r="I111" s="216" t="s">
        <v>520</v>
      </c>
      <c r="J111" s="216"/>
      <c r="K111" s="58">
        <f>M111+M112</f>
        <v>2725.0099999999998</v>
      </c>
      <c r="L111" s="84"/>
      <c r="M111" s="85">
        <f>Source!S37</f>
        <v>2713.04</v>
      </c>
      <c r="N111" s="217">
        <f>Source!X37</f>
        <v>3869.51</v>
      </c>
      <c r="O111" s="216"/>
      <c r="P111" s="218"/>
      <c r="Q111" s="86"/>
    </row>
    <row r="112" spans="1:17" ht="17.25">
      <c r="A112" s="87"/>
      <c r="B112" s="88"/>
      <c r="C112" s="214" t="s">
        <v>106</v>
      </c>
      <c r="D112" s="214"/>
      <c r="E112" s="214"/>
      <c r="F112" s="89"/>
      <c r="G112" s="215">
        <f>Source!AU37/100</f>
        <v>0.81</v>
      </c>
      <c r="H112" s="215"/>
      <c r="I112" s="216" t="s">
        <v>520</v>
      </c>
      <c r="J112" s="216"/>
      <c r="K112" s="58">
        <f>M111+M112</f>
        <v>2725.0099999999998</v>
      </c>
      <c r="L112" s="84"/>
      <c r="M112" s="85">
        <f>Source!R37</f>
        <v>11.97</v>
      </c>
      <c r="N112" s="217">
        <f>Source!Y37</f>
        <v>2207.26</v>
      </c>
      <c r="O112" s="216"/>
      <c r="P112" s="218"/>
      <c r="Q112" s="86"/>
    </row>
    <row r="113" spans="1:17" ht="47.25">
      <c r="A113" s="94" t="str">
        <f>Source!E38</f>
        <v>7,1</v>
      </c>
      <c r="B113" s="95" t="str">
        <f>IF(Source!BJ38&lt;&gt;"",SUBSTITUTE(SUBSTITUTE(SUBSTITUTE(SUBSTITUTE(SUBSTITUTE(SUBSTITUTE(Source!BJ38,",",""),"сб."," "),"гл.","-"),"табл.","-"),"поз.","-"),"разд.","-"),Source!F38)</f>
        <v>ФССЦ (2010) ч.4 раздел10 -0054</v>
      </c>
      <c r="C113" s="96" t="str">
        <f>Source!G38</f>
        <v>Асфальт литой для покрытий тротуаров тип II (жесткий)</v>
      </c>
      <c r="D113" s="219">
        <f>Source!I38</f>
        <v>-24.276</v>
      </c>
      <c r="E113" s="221"/>
      <c r="F113" s="221"/>
      <c r="G113" s="97"/>
      <c r="H113" s="97"/>
      <c r="I113" s="98">
        <f>Source!AC38</f>
        <v>455.39</v>
      </c>
      <c r="J113" s="221"/>
      <c r="K113" s="221"/>
      <c r="L113" s="98"/>
      <c r="M113" s="98"/>
      <c r="N113" s="98">
        <f>Source!P38</f>
        <v>-54611.94</v>
      </c>
      <c r="O113" s="99"/>
      <c r="P113" s="100"/>
      <c r="Q113" s="101"/>
    </row>
    <row r="114" spans="1:17" ht="15.75">
      <c r="A114" s="102"/>
      <c r="B114" s="103"/>
      <c r="C114" s="104" t="str">
        <f>IF(Source!DW38="",Source!H38,Source!DW38)</f>
        <v>т</v>
      </c>
      <c r="D114" s="220"/>
      <c r="E114" s="220"/>
      <c r="F114" s="220"/>
      <c r="G114" s="105"/>
      <c r="H114" s="105"/>
      <c r="I114" s="105"/>
      <c r="J114" s="222"/>
      <c r="K114" s="222"/>
      <c r="L114" s="106"/>
      <c r="M114" s="106"/>
      <c r="N114" s="106"/>
      <c r="O114" s="107"/>
      <c r="P114" s="108"/>
      <c r="Q114" s="109"/>
    </row>
    <row r="115" spans="1:17" ht="47.25">
      <c r="A115" s="94" t="str">
        <f>Source!E39</f>
        <v>7,2</v>
      </c>
      <c r="B115" s="95" t="str">
        <f>IF(Source!BJ39&lt;&gt;"",SUBSTITUTE(SUBSTITUTE(SUBSTITUTE(SUBSTITUTE(SUBSTITUTE(SUBSTITUTE(Source!BJ39,",",""),"сб."," "),"гл.","-"),"табл.","-"),"поз.","-"),"разд.","-"),Source!F39)</f>
        <v>ФССЦ (2010) ч.4 раздел10 -0007</v>
      </c>
      <c r="C115" s="96" t="str">
        <f>Source!G39</f>
        <v>Асфальтобетонные смеси дорожные марка II, тип Г</v>
      </c>
      <c r="D115" s="219">
        <f>Source!I39</f>
        <v>24.276</v>
      </c>
      <c r="E115" s="221"/>
      <c r="F115" s="221"/>
      <c r="G115" s="97"/>
      <c r="H115" s="97"/>
      <c r="I115" s="98">
        <f>Source!AC39</f>
        <v>571.6</v>
      </c>
      <c r="J115" s="221"/>
      <c r="K115" s="221"/>
      <c r="L115" s="98"/>
      <c r="M115" s="98"/>
      <c r="N115" s="98">
        <f>Source!P39</f>
        <v>68548.24</v>
      </c>
      <c r="O115" s="99"/>
      <c r="P115" s="100"/>
      <c r="Q115" s="101"/>
    </row>
    <row r="116" spans="1:17" ht="15.75">
      <c r="A116" s="102"/>
      <c r="B116" s="103"/>
      <c r="C116" s="104" t="str">
        <f>IF(Source!DW39="",Source!H39,Source!DW39)</f>
        <v>т</v>
      </c>
      <c r="D116" s="220"/>
      <c r="E116" s="220"/>
      <c r="F116" s="220"/>
      <c r="G116" s="105"/>
      <c r="H116" s="105"/>
      <c r="I116" s="105"/>
      <c r="J116" s="222"/>
      <c r="K116" s="222"/>
      <c r="L116" s="106"/>
      <c r="M116" s="106"/>
      <c r="N116" s="106"/>
      <c r="O116" s="107"/>
      <c r="P116" s="108"/>
      <c r="Q116" s="109"/>
    </row>
    <row r="117" spans="1:17" ht="85.5">
      <c r="A117" s="47" t="str">
        <f>Source!E40</f>
        <v>8</v>
      </c>
      <c r="B117" s="48" t="str">
        <f>IF(Source!BJ40&lt;&gt;"",SUBSTITUTE(SUBSTITUTE(SUBSTITUTE(SUBSTITUTE(SUBSTITUTE(SUBSTITUTE(Source!BJ40,",",""),"сб."," "),"гл.","-"),"табл.","-"),"поз.","-"),"разд.","-"),Source!F40)&amp;" Кэмм*1,25"&amp;" Кзпм*1,25"&amp;" Козп*1,15"&amp;" Ктзс*1,15"&amp;" Ктзм*1,25"</f>
        <v>ФЕР 2009  27-07-001-2 Кэмм*1,25 Кзпм*1,25 Козп*1,15 Ктзс*1,15 Ктзм*1,25</v>
      </c>
      <c r="C117" s="49" t="str">
        <f>Source!G40</f>
        <v>На каждые 0,5 см изменения толщины покрытия добавлять к расценке 27-07-001-01 (до 5 см)</v>
      </c>
      <c r="D117" s="50">
        <f>Source!I40</f>
        <v>13.6</v>
      </c>
      <c r="E117" s="223">
        <f>Source!AB40</f>
        <v>586.3025</v>
      </c>
      <c r="F117" s="223"/>
      <c r="G117" s="223">
        <f>Source!AD40</f>
        <v>10.5</v>
      </c>
      <c r="H117" s="223"/>
      <c r="I117" s="90">
        <f>Source!AC40</f>
        <v>551.02</v>
      </c>
      <c r="J117" s="224">
        <f>Source!O40</f>
        <v>39390.15</v>
      </c>
      <c r="K117" s="224"/>
      <c r="L117" s="51">
        <f>Source!S40</f>
        <v>1664.99</v>
      </c>
      <c r="M117" s="91">
        <f>Source!Q40</f>
        <v>705.43</v>
      </c>
      <c r="N117" s="92">
        <f>Source!P40</f>
        <v>37019.73</v>
      </c>
      <c r="O117" s="52"/>
      <c r="P117" s="93">
        <f>Source!U40</f>
        <v>36.2848</v>
      </c>
      <c r="Q117" s="53"/>
    </row>
    <row r="118" spans="1:17" ht="15.75">
      <c r="A118" s="54"/>
      <c r="B118" s="55"/>
      <c r="C118" s="56" t="str">
        <f>Source!H40</f>
        <v>100 м2</v>
      </c>
      <c r="D118" s="57"/>
      <c r="E118" s="211">
        <f>Source!AF40</f>
        <v>24.7825</v>
      </c>
      <c r="F118" s="211"/>
      <c r="G118" s="211">
        <f>Source!AE40</f>
        <v>0</v>
      </c>
      <c r="H118" s="211"/>
      <c r="I118" s="59"/>
      <c r="J118" s="60"/>
      <c r="K118" s="60"/>
      <c r="L118" s="61"/>
      <c r="M118" s="62">
        <f>Source!R40</f>
        <v>0</v>
      </c>
      <c r="N118" s="62"/>
      <c r="O118" s="62"/>
      <c r="P118" s="63">
        <f>Source!V40</f>
        <v>0</v>
      </c>
      <c r="Q118" s="64"/>
    </row>
    <row r="119" spans="1:17" ht="15.75">
      <c r="A119" s="65"/>
      <c r="B119" s="66"/>
      <c r="C119" s="212" t="s">
        <v>514</v>
      </c>
      <c r="D119" s="212"/>
      <c r="E119" s="67">
        <f>Source!BA40</f>
        <v>4.94</v>
      </c>
      <c r="F119" s="68" t="s">
        <v>515</v>
      </c>
      <c r="G119" s="69">
        <f>Source!AF40</f>
        <v>24.7825</v>
      </c>
      <c r="H119" s="68" t="s">
        <v>515</v>
      </c>
      <c r="I119" s="70">
        <f>Source!I40</f>
        <v>13.6</v>
      </c>
      <c r="J119" s="71" t="s">
        <v>516</v>
      </c>
      <c r="K119" s="72">
        <f>Source!S40</f>
        <v>1664.99</v>
      </c>
      <c r="L119" s="73"/>
      <c r="M119" s="74"/>
      <c r="N119" s="75"/>
      <c r="O119" s="75"/>
      <c r="P119" s="76"/>
      <c r="Q119" s="77"/>
    </row>
    <row r="120" spans="1:17" ht="15.75">
      <c r="A120" s="65"/>
      <c r="B120" s="66"/>
      <c r="C120" s="213" t="s">
        <v>517</v>
      </c>
      <c r="D120" s="213"/>
      <c r="E120" s="67">
        <f>Source!BB40</f>
        <v>4.94</v>
      </c>
      <c r="F120" s="68" t="s">
        <v>515</v>
      </c>
      <c r="G120" s="69">
        <f>Source!AD40</f>
        <v>10.5</v>
      </c>
      <c r="H120" s="68" t="s">
        <v>515</v>
      </c>
      <c r="I120" s="70">
        <f>Source!I40</f>
        <v>13.6</v>
      </c>
      <c r="J120" s="71" t="s">
        <v>516</v>
      </c>
      <c r="K120" s="72">
        <f>Source!Q40</f>
        <v>705.43</v>
      </c>
      <c r="L120" s="73"/>
      <c r="M120" s="74"/>
      <c r="N120" s="74"/>
      <c r="O120" s="74"/>
      <c r="P120" s="78"/>
      <c r="Q120" s="79"/>
    </row>
    <row r="121" spans="1:17" ht="15.75">
      <c r="A121" s="65"/>
      <c r="B121" s="66"/>
      <c r="C121" s="213" t="s">
        <v>518</v>
      </c>
      <c r="D121" s="213"/>
      <c r="E121" s="67">
        <f>Source!BS40</f>
        <v>4.94</v>
      </c>
      <c r="F121" s="68" t="s">
        <v>515</v>
      </c>
      <c r="G121" s="69">
        <f>Source!AE40</f>
        <v>0</v>
      </c>
      <c r="H121" s="68" t="s">
        <v>515</v>
      </c>
      <c r="I121" s="70">
        <f>Source!I40</f>
        <v>13.6</v>
      </c>
      <c r="J121" s="71" t="s">
        <v>516</v>
      </c>
      <c r="K121" s="72">
        <f>Source!R40</f>
        <v>0</v>
      </c>
      <c r="L121" s="73"/>
      <c r="M121" s="74"/>
      <c r="N121" s="74"/>
      <c r="O121" s="74"/>
      <c r="P121" s="78"/>
      <c r="Q121" s="79"/>
    </row>
    <row r="122" spans="1:17" ht="15.75">
      <c r="A122" s="65"/>
      <c r="B122" s="66"/>
      <c r="C122" s="213" t="s">
        <v>519</v>
      </c>
      <c r="D122" s="213"/>
      <c r="E122" s="67">
        <f>Source!BC40</f>
        <v>4.94</v>
      </c>
      <c r="F122" s="68" t="s">
        <v>515</v>
      </c>
      <c r="G122" s="69">
        <f>Source!AC40</f>
        <v>551.02</v>
      </c>
      <c r="H122" s="68" t="s">
        <v>515</v>
      </c>
      <c r="I122" s="70">
        <f>Source!I40</f>
        <v>13.6</v>
      </c>
      <c r="J122" s="71" t="s">
        <v>516</v>
      </c>
      <c r="K122" s="72">
        <f>Source!P40</f>
        <v>37019.73</v>
      </c>
      <c r="L122" s="73"/>
      <c r="M122" s="74"/>
      <c r="N122" s="74"/>
      <c r="O122" s="74"/>
      <c r="P122" s="80"/>
      <c r="Q122" s="79"/>
    </row>
    <row r="123" spans="1:17" ht="17.25">
      <c r="A123" s="81"/>
      <c r="B123" s="82"/>
      <c r="C123" s="214" t="s">
        <v>104</v>
      </c>
      <c r="D123" s="214"/>
      <c r="E123" s="214"/>
      <c r="F123" s="83"/>
      <c r="G123" s="215">
        <f>Source!AT40/100</f>
        <v>1.42</v>
      </c>
      <c r="H123" s="215"/>
      <c r="I123" s="216" t="s">
        <v>520</v>
      </c>
      <c r="J123" s="216"/>
      <c r="K123" s="58">
        <f>M123+M124</f>
        <v>1664.99</v>
      </c>
      <c r="L123" s="84"/>
      <c r="M123" s="85">
        <f>Source!S40</f>
        <v>1664.99</v>
      </c>
      <c r="N123" s="217">
        <f>Source!X40</f>
        <v>2364.29</v>
      </c>
      <c r="O123" s="216"/>
      <c r="P123" s="218"/>
      <c r="Q123" s="86"/>
    </row>
    <row r="124" spans="1:17" ht="17.25">
      <c r="A124" s="87"/>
      <c r="B124" s="88"/>
      <c r="C124" s="214" t="s">
        <v>106</v>
      </c>
      <c r="D124" s="214"/>
      <c r="E124" s="214"/>
      <c r="F124" s="89"/>
      <c r="G124" s="215">
        <f>Source!AU40/100</f>
        <v>0.81</v>
      </c>
      <c r="H124" s="215"/>
      <c r="I124" s="216" t="s">
        <v>520</v>
      </c>
      <c r="J124" s="216"/>
      <c r="K124" s="58">
        <f>M123+M124</f>
        <v>1664.99</v>
      </c>
      <c r="L124" s="84"/>
      <c r="M124" s="85">
        <f>Source!R40</f>
        <v>0</v>
      </c>
      <c r="N124" s="217">
        <f>Source!Y40</f>
        <v>1348.64</v>
      </c>
      <c r="O124" s="216"/>
      <c r="P124" s="218"/>
      <c r="Q124" s="86"/>
    </row>
    <row r="125" spans="1:17" ht="47.25">
      <c r="A125" s="94" t="str">
        <f>Source!E41</f>
        <v>8,1</v>
      </c>
      <c r="B125" s="95" t="str">
        <f>IF(Source!BJ41&lt;&gt;"",SUBSTITUTE(SUBSTITUTE(SUBSTITUTE(SUBSTITUTE(SUBSTITUTE(SUBSTITUTE(Source!BJ41,",",""),"сб."," "),"гл.","-"),"табл.","-"),"поз.","-"),"разд.","-"),Source!F41)</f>
        <v>ФССЦ (2010) ч.4 раздел10 -0054</v>
      </c>
      <c r="C125" s="96" t="str">
        <f>Source!G41</f>
        <v>Асфальт литой для покрытий тротуаров тип II (жесткий)</v>
      </c>
      <c r="D125" s="219">
        <f>Source!I41</f>
        <v>-16.456</v>
      </c>
      <c r="E125" s="221"/>
      <c r="F125" s="221"/>
      <c r="G125" s="97"/>
      <c r="H125" s="97"/>
      <c r="I125" s="98">
        <f>Source!AC41</f>
        <v>455.39</v>
      </c>
      <c r="J125" s="221"/>
      <c r="K125" s="221"/>
      <c r="L125" s="98"/>
      <c r="M125" s="98"/>
      <c r="N125" s="98">
        <f>Source!P41</f>
        <v>-37019.86</v>
      </c>
      <c r="O125" s="99"/>
      <c r="P125" s="100"/>
      <c r="Q125" s="101"/>
    </row>
    <row r="126" spans="1:17" ht="15.75">
      <c r="A126" s="102"/>
      <c r="B126" s="103"/>
      <c r="C126" s="104" t="str">
        <f>IF(Source!DW41="",Source!H41,Source!DW41)</f>
        <v>т</v>
      </c>
      <c r="D126" s="220"/>
      <c r="E126" s="220"/>
      <c r="F126" s="220"/>
      <c r="G126" s="105"/>
      <c r="H126" s="105"/>
      <c r="I126" s="105"/>
      <c r="J126" s="222"/>
      <c r="K126" s="222"/>
      <c r="L126" s="106"/>
      <c r="M126" s="106"/>
      <c r="N126" s="106"/>
      <c r="O126" s="107"/>
      <c r="P126" s="108"/>
      <c r="Q126" s="109"/>
    </row>
    <row r="127" spans="1:17" ht="47.25">
      <c r="A127" s="94" t="str">
        <f>Source!E42</f>
        <v>8,2</v>
      </c>
      <c r="B127" s="95" t="str">
        <f>IF(Source!BJ42&lt;&gt;"",SUBSTITUTE(SUBSTITUTE(SUBSTITUTE(SUBSTITUTE(SUBSTITUTE(SUBSTITUTE(Source!BJ42,",",""),"сб."," "),"гл.","-"),"табл.","-"),"поз.","-"),"разд.","-"),Source!F42)</f>
        <v>ФССЦ (2010) ч.4 раздел10 -0008</v>
      </c>
      <c r="C127" s="96" t="str">
        <f>Source!G42</f>
        <v>Асфальтобетонные смеси дорожные марка II, тип Г</v>
      </c>
      <c r="D127" s="219">
        <f>Source!I42</f>
        <v>16.456</v>
      </c>
      <c r="E127" s="221"/>
      <c r="F127" s="221"/>
      <c r="G127" s="97"/>
      <c r="H127" s="97"/>
      <c r="I127" s="98">
        <f>Source!AC42</f>
        <v>571.6</v>
      </c>
      <c r="J127" s="221"/>
      <c r="K127" s="221"/>
      <c r="L127" s="98"/>
      <c r="M127" s="98"/>
      <c r="N127" s="98">
        <f>Source!P42</f>
        <v>46466.87</v>
      </c>
      <c r="O127" s="99"/>
      <c r="P127" s="100"/>
      <c r="Q127" s="101"/>
    </row>
    <row r="128" spans="1:17" ht="15.75">
      <c r="A128" s="102"/>
      <c r="B128" s="103"/>
      <c r="C128" s="104" t="str">
        <f>IF(Source!DW42="",Source!H42,Source!DW42)</f>
        <v>т</v>
      </c>
      <c r="D128" s="220"/>
      <c r="E128" s="220"/>
      <c r="F128" s="220"/>
      <c r="G128" s="105"/>
      <c r="H128" s="105"/>
      <c r="I128" s="105"/>
      <c r="J128" s="222"/>
      <c r="K128" s="222"/>
      <c r="L128" s="106"/>
      <c r="M128" s="106"/>
      <c r="N128" s="106"/>
      <c r="O128" s="107"/>
      <c r="P128" s="108"/>
      <c r="Q128" s="109"/>
    </row>
    <row r="129" spans="1:17" ht="31.5">
      <c r="A129" s="47" t="str">
        <f>Source!E43</f>
        <v>9</v>
      </c>
      <c r="B129" s="48" t="str">
        <f>IF(Source!BJ43&lt;&gt;"",SUBSTITUTE(SUBSTITUTE(SUBSTITUTE(SUBSTITUTE(SUBSTITUTE(SUBSTITUTE(Source!BJ43,",",""),"сб."," "),"гл.","-"),"табл.","-"),"поз.","-"),"разд.","-"),Source!F43)</f>
        <v>ФССЦ ч.1  311-01-144-1</v>
      </c>
      <c r="C129" s="49" t="str">
        <f>Source!G43</f>
        <v>Погрузка: Грунта от очистки основания</v>
      </c>
      <c r="D129" s="50">
        <f>Source!I43</f>
        <v>16.759999999999998</v>
      </c>
      <c r="E129" s="223">
        <f>Source!AB43</f>
        <v>3.65</v>
      </c>
      <c r="F129" s="223"/>
      <c r="G129" s="223">
        <f>Source!AD43</f>
        <v>3.65</v>
      </c>
      <c r="H129" s="223"/>
      <c r="I129" s="90">
        <f>Source!AC43</f>
        <v>0</v>
      </c>
      <c r="J129" s="224">
        <f>Source!O43</f>
        <v>302.2</v>
      </c>
      <c r="K129" s="224"/>
      <c r="L129" s="51">
        <f>Source!S43</f>
        <v>0</v>
      </c>
      <c r="M129" s="91">
        <f>Source!Q43</f>
        <v>302.2</v>
      </c>
      <c r="N129" s="92">
        <f>Source!P43</f>
        <v>0</v>
      </c>
      <c r="O129" s="52"/>
      <c r="P129" s="93">
        <f>Source!U43</f>
        <v>0</v>
      </c>
      <c r="Q129" s="53"/>
    </row>
    <row r="130" spans="1:17" ht="15.75">
      <c r="A130" s="54"/>
      <c r="B130" s="55"/>
      <c r="C130" s="56" t="str">
        <f>Source!H43</f>
        <v>т</v>
      </c>
      <c r="D130" s="57"/>
      <c r="E130" s="211">
        <f>Source!AF43</f>
        <v>0</v>
      </c>
      <c r="F130" s="211"/>
      <c r="G130" s="211">
        <f>Source!AE43</f>
        <v>0.39</v>
      </c>
      <c r="H130" s="211"/>
      <c r="I130" s="59"/>
      <c r="J130" s="60"/>
      <c r="K130" s="60"/>
      <c r="L130" s="61"/>
      <c r="M130" s="62">
        <f>Source!R43</f>
        <v>32.29</v>
      </c>
      <c r="N130" s="62"/>
      <c r="O130" s="62"/>
      <c r="P130" s="63">
        <f>Source!V43</f>
        <v>0.48603999999999997</v>
      </c>
      <c r="Q130" s="64"/>
    </row>
    <row r="131" spans="1:17" ht="15.75">
      <c r="A131" s="65"/>
      <c r="B131" s="66"/>
      <c r="C131" s="212" t="s">
        <v>514</v>
      </c>
      <c r="D131" s="212"/>
      <c r="E131" s="67">
        <f>Source!BA43</f>
        <v>4.94</v>
      </c>
      <c r="F131" s="68" t="s">
        <v>515</v>
      </c>
      <c r="G131" s="69">
        <f>Source!AF43</f>
        <v>0</v>
      </c>
      <c r="H131" s="68" t="s">
        <v>515</v>
      </c>
      <c r="I131" s="70">
        <f>Source!I43</f>
        <v>16.759999999999998</v>
      </c>
      <c r="J131" s="71" t="s">
        <v>516</v>
      </c>
      <c r="K131" s="72">
        <f>Source!S43</f>
        <v>0</v>
      </c>
      <c r="L131" s="73"/>
      <c r="M131" s="74"/>
      <c r="N131" s="75"/>
      <c r="O131" s="75"/>
      <c r="P131" s="76"/>
      <c r="Q131" s="77"/>
    </row>
    <row r="132" spans="1:17" ht="15.75">
      <c r="A132" s="65"/>
      <c r="B132" s="66"/>
      <c r="C132" s="213" t="s">
        <v>517</v>
      </c>
      <c r="D132" s="213"/>
      <c r="E132" s="67">
        <f>Source!BB43</f>
        <v>4.94</v>
      </c>
      <c r="F132" s="68" t="s">
        <v>515</v>
      </c>
      <c r="G132" s="69">
        <f>Source!AD43</f>
        <v>3.65</v>
      </c>
      <c r="H132" s="68" t="s">
        <v>515</v>
      </c>
      <c r="I132" s="70">
        <f>Source!I43</f>
        <v>16.759999999999998</v>
      </c>
      <c r="J132" s="71" t="s">
        <v>516</v>
      </c>
      <c r="K132" s="72">
        <f>Source!Q43</f>
        <v>302.2</v>
      </c>
      <c r="L132" s="73"/>
      <c r="M132" s="74"/>
      <c r="N132" s="74"/>
      <c r="O132" s="74"/>
      <c r="P132" s="78"/>
      <c r="Q132" s="79"/>
    </row>
    <row r="133" spans="1:17" ht="15.75">
      <c r="A133" s="65"/>
      <c r="B133" s="66"/>
      <c r="C133" s="213" t="s">
        <v>518</v>
      </c>
      <c r="D133" s="213"/>
      <c r="E133" s="67">
        <f>Source!BS43</f>
        <v>4.94</v>
      </c>
      <c r="F133" s="68" t="s">
        <v>515</v>
      </c>
      <c r="G133" s="69">
        <f>Source!AE43</f>
        <v>0.39</v>
      </c>
      <c r="H133" s="68" t="s">
        <v>515</v>
      </c>
      <c r="I133" s="70">
        <f>Source!I43</f>
        <v>16.759999999999998</v>
      </c>
      <c r="J133" s="71" t="s">
        <v>516</v>
      </c>
      <c r="K133" s="72">
        <f>Source!R43</f>
        <v>32.29</v>
      </c>
      <c r="L133" s="73"/>
      <c r="M133" s="74"/>
      <c r="N133" s="74"/>
      <c r="O133" s="74"/>
      <c r="P133" s="78"/>
      <c r="Q133" s="79"/>
    </row>
    <row r="134" spans="1:17" ht="15.75">
      <c r="A134" s="65"/>
      <c r="B134" s="66"/>
      <c r="C134" s="213" t="s">
        <v>519</v>
      </c>
      <c r="D134" s="213"/>
      <c r="E134" s="67">
        <f>Source!BC43</f>
        <v>4.94</v>
      </c>
      <c r="F134" s="68" t="s">
        <v>515</v>
      </c>
      <c r="G134" s="69">
        <f>Source!AC43</f>
        <v>0</v>
      </c>
      <c r="H134" s="68" t="s">
        <v>515</v>
      </c>
      <c r="I134" s="70">
        <f>Source!I43</f>
        <v>16.759999999999998</v>
      </c>
      <c r="J134" s="71" t="s">
        <v>516</v>
      </c>
      <c r="K134" s="72">
        <f>Source!P43</f>
        <v>0</v>
      </c>
      <c r="L134" s="73"/>
      <c r="M134" s="74"/>
      <c r="N134" s="74"/>
      <c r="O134" s="74"/>
      <c r="P134" s="80"/>
      <c r="Q134" s="79"/>
    </row>
    <row r="135" spans="1:17" ht="17.25">
      <c r="A135" s="81"/>
      <c r="B135" s="82"/>
      <c r="C135" s="214" t="s">
        <v>104</v>
      </c>
      <c r="D135" s="214"/>
      <c r="E135" s="214"/>
      <c r="F135" s="83"/>
      <c r="G135" s="215">
        <f>Source!AT43/100</f>
        <v>1</v>
      </c>
      <c r="H135" s="215"/>
      <c r="I135" s="216" t="s">
        <v>520</v>
      </c>
      <c r="J135" s="216"/>
      <c r="K135" s="58">
        <f>M135+M136</f>
        <v>32.29</v>
      </c>
      <c r="L135" s="84"/>
      <c r="M135" s="85">
        <f>Source!S43</f>
        <v>0</v>
      </c>
      <c r="N135" s="217">
        <f>Source!X43</f>
        <v>32.29</v>
      </c>
      <c r="O135" s="216"/>
      <c r="P135" s="218"/>
      <c r="Q135" s="86"/>
    </row>
    <row r="136" spans="1:17" ht="17.25">
      <c r="A136" s="87"/>
      <c r="B136" s="88"/>
      <c r="C136" s="214" t="s">
        <v>106</v>
      </c>
      <c r="D136" s="214"/>
      <c r="E136" s="214"/>
      <c r="F136" s="89"/>
      <c r="G136" s="215">
        <f>Source!AU43/100</f>
        <v>0.51</v>
      </c>
      <c r="H136" s="215"/>
      <c r="I136" s="216" t="s">
        <v>520</v>
      </c>
      <c r="J136" s="216"/>
      <c r="K136" s="58">
        <f>M135+M136</f>
        <v>32.29</v>
      </c>
      <c r="L136" s="84"/>
      <c r="M136" s="85">
        <f>Source!R43</f>
        <v>32.29</v>
      </c>
      <c r="N136" s="217">
        <f>Source!Y43</f>
        <v>16.47</v>
      </c>
      <c r="O136" s="216"/>
      <c r="P136" s="218"/>
      <c r="Q136" s="86"/>
    </row>
    <row r="137" spans="1:17" ht="81.75" customHeight="1">
      <c r="A137" s="47" t="str">
        <f>Source!E44</f>
        <v>10</v>
      </c>
      <c r="B137" s="48" t="str">
        <f>IF(Source!BJ44&lt;&gt;"",SUBSTITUTE(SUBSTITUTE(SUBSTITUTE(SUBSTITUTE(SUBSTITUTE(SUBSTITUTE(Source!BJ44,",",""),"сб."," "),"гл.","-"),"табл.","-"),"поз.","-"),"разд.","-"),Source!F44)</f>
        <v>ФССЦ ч.1  310-30-0-1</v>
      </c>
      <c r="C137" s="49" t="str">
        <f>Source!G44</f>
        <v>Перевозка грунта от очистки основания автомобилями-самосвалами грузоподъемностью 10 т, работающих вне карьера на расстояние 10 км, класс груза 1.</v>
      </c>
      <c r="D137" s="50">
        <f>Source!I44</f>
        <v>16.759999999999998</v>
      </c>
      <c r="E137" s="223">
        <f>Source!AB44</f>
        <v>10.41</v>
      </c>
      <c r="F137" s="223"/>
      <c r="G137" s="223">
        <f>Source!AD44</f>
        <v>10.41</v>
      </c>
      <c r="H137" s="223"/>
      <c r="I137" s="90">
        <f>Source!AC44</f>
        <v>0</v>
      </c>
      <c r="J137" s="224">
        <f>Source!O44</f>
        <v>861.89</v>
      </c>
      <c r="K137" s="224"/>
      <c r="L137" s="51">
        <f>Source!S44</f>
        <v>0</v>
      </c>
      <c r="M137" s="91">
        <f>Source!Q44</f>
        <v>861.89</v>
      </c>
      <c r="N137" s="92">
        <f>Source!P44</f>
        <v>0</v>
      </c>
      <c r="O137" s="52"/>
      <c r="P137" s="93">
        <f>Source!U44</f>
        <v>0</v>
      </c>
      <c r="Q137" s="53"/>
    </row>
    <row r="138" spans="1:17" ht="15.75">
      <c r="A138" s="54"/>
      <c r="B138" s="55"/>
      <c r="C138" s="56" t="str">
        <f>Source!H44</f>
        <v>т</v>
      </c>
      <c r="D138" s="57"/>
      <c r="E138" s="211">
        <f>Source!AF44</f>
        <v>0</v>
      </c>
      <c r="F138" s="211"/>
      <c r="G138" s="211">
        <f>Source!AE44</f>
        <v>0</v>
      </c>
      <c r="H138" s="211"/>
      <c r="I138" s="59"/>
      <c r="J138" s="60"/>
      <c r="K138" s="60"/>
      <c r="L138" s="61"/>
      <c r="M138" s="62">
        <f>Source!R44</f>
        <v>0</v>
      </c>
      <c r="N138" s="62"/>
      <c r="O138" s="62"/>
      <c r="P138" s="63">
        <f>Source!V44</f>
        <v>17.63152</v>
      </c>
      <c r="Q138" s="64"/>
    </row>
    <row r="139" spans="1:17" ht="15.75">
      <c r="A139" s="65"/>
      <c r="B139" s="66"/>
      <c r="C139" s="212" t="s">
        <v>514</v>
      </c>
      <c r="D139" s="212"/>
      <c r="E139" s="67">
        <f>Source!BA44</f>
        <v>4.94</v>
      </c>
      <c r="F139" s="68" t="s">
        <v>515</v>
      </c>
      <c r="G139" s="69">
        <f>Source!AF44</f>
        <v>0</v>
      </c>
      <c r="H139" s="68" t="s">
        <v>515</v>
      </c>
      <c r="I139" s="70">
        <f>Source!I44</f>
        <v>16.759999999999998</v>
      </c>
      <c r="J139" s="71" t="s">
        <v>516</v>
      </c>
      <c r="K139" s="72">
        <f>Source!S44</f>
        <v>0</v>
      </c>
      <c r="L139" s="73"/>
      <c r="M139" s="74"/>
      <c r="N139" s="75"/>
      <c r="O139" s="75"/>
      <c r="P139" s="76"/>
      <c r="Q139" s="77"/>
    </row>
    <row r="140" spans="1:17" ht="15.75">
      <c r="A140" s="65"/>
      <c r="B140" s="66"/>
      <c r="C140" s="213" t="s">
        <v>517</v>
      </c>
      <c r="D140" s="213"/>
      <c r="E140" s="67">
        <f>Source!BB44</f>
        <v>4.94</v>
      </c>
      <c r="F140" s="68" t="s">
        <v>515</v>
      </c>
      <c r="G140" s="69">
        <f>Source!AD44</f>
        <v>10.41</v>
      </c>
      <c r="H140" s="68" t="s">
        <v>515</v>
      </c>
      <c r="I140" s="70">
        <f>Source!I44</f>
        <v>16.759999999999998</v>
      </c>
      <c r="J140" s="71" t="s">
        <v>516</v>
      </c>
      <c r="K140" s="72">
        <f>Source!Q44</f>
        <v>861.89</v>
      </c>
      <c r="L140" s="73"/>
      <c r="M140" s="74"/>
      <c r="N140" s="74"/>
      <c r="O140" s="74"/>
      <c r="P140" s="78"/>
      <c r="Q140" s="79"/>
    </row>
    <row r="141" spans="1:17" ht="15.75">
      <c r="A141" s="65"/>
      <c r="B141" s="66"/>
      <c r="C141" s="213" t="s">
        <v>518</v>
      </c>
      <c r="D141" s="213"/>
      <c r="E141" s="67">
        <f>Source!BS44</f>
        <v>4.94</v>
      </c>
      <c r="F141" s="68" t="s">
        <v>515</v>
      </c>
      <c r="G141" s="69">
        <f>Source!AE44</f>
        <v>0</v>
      </c>
      <c r="H141" s="68" t="s">
        <v>515</v>
      </c>
      <c r="I141" s="70">
        <f>Source!I44</f>
        <v>16.759999999999998</v>
      </c>
      <c r="J141" s="71" t="s">
        <v>516</v>
      </c>
      <c r="K141" s="72">
        <f>Source!R44</f>
        <v>0</v>
      </c>
      <c r="L141" s="73"/>
      <c r="M141" s="74"/>
      <c r="N141" s="74"/>
      <c r="O141" s="74"/>
      <c r="P141" s="78"/>
      <c r="Q141" s="79"/>
    </row>
    <row r="142" spans="1:17" ht="15.75">
      <c r="A142" s="65"/>
      <c r="B142" s="66"/>
      <c r="C142" s="213" t="s">
        <v>519</v>
      </c>
      <c r="D142" s="213"/>
      <c r="E142" s="67">
        <f>Source!BC44</f>
        <v>4.94</v>
      </c>
      <c r="F142" s="68" t="s">
        <v>515</v>
      </c>
      <c r="G142" s="69">
        <f>Source!AC44</f>
        <v>0</v>
      </c>
      <c r="H142" s="68" t="s">
        <v>515</v>
      </c>
      <c r="I142" s="70">
        <f>Source!I44</f>
        <v>16.759999999999998</v>
      </c>
      <c r="J142" s="71" t="s">
        <v>516</v>
      </c>
      <c r="K142" s="72">
        <f>Source!P44</f>
        <v>0</v>
      </c>
      <c r="L142" s="73"/>
      <c r="M142" s="74"/>
      <c r="N142" s="74"/>
      <c r="O142" s="74"/>
      <c r="P142" s="80"/>
      <c r="Q142" s="79"/>
    </row>
    <row r="143" spans="1:17" ht="17.25">
      <c r="A143" s="81"/>
      <c r="B143" s="82"/>
      <c r="C143" s="214" t="s">
        <v>104</v>
      </c>
      <c r="D143" s="214"/>
      <c r="E143" s="214"/>
      <c r="F143" s="83"/>
      <c r="G143" s="215">
        <f>Source!AT44/100</f>
        <v>0</v>
      </c>
      <c r="H143" s="215"/>
      <c r="I143" s="216" t="s">
        <v>520</v>
      </c>
      <c r="J143" s="216"/>
      <c r="K143" s="58">
        <f>M143+M144</f>
        <v>0</v>
      </c>
      <c r="L143" s="84"/>
      <c r="M143" s="85">
        <f>Source!S44</f>
        <v>0</v>
      </c>
      <c r="N143" s="217">
        <f>Source!X44</f>
        <v>0</v>
      </c>
      <c r="O143" s="216"/>
      <c r="P143" s="218"/>
      <c r="Q143" s="86"/>
    </row>
    <row r="144" spans="1:17" ht="17.25">
      <c r="A144" s="87"/>
      <c r="B144" s="88"/>
      <c r="C144" s="214" t="s">
        <v>106</v>
      </c>
      <c r="D144" s="214"/>
      <c r="E144" s="214"/>
      <c r="F144" s="89"/>
      <c r="G144" s="215">
        <f>Source!AU44/100</f>
        <v>0</v>
      </c>
      <c r="H144" s="215"/>
      <c r="I144" s="216" t="s">
        <v>520</v>
      </c>
      <c r="J144" s="216"/>
      <c r="K144" s="58">
        <f>M143+M144</f>
        <v>0</v>
      </c>
      <c r="L144" s="84"/>
      <c r="M144" s="85">
        <f>Source!R44</f>
        <v>0</v>
      </c>
      <c r="N144" s="217">
        <f>Source!Y44</f>
        <v>0</v>
      </c>
      <c r="O144" s="216"/>
      <c r="P144" s="218"/>
      <c r="Q144" s="86"/>
    </row>
    <row r="145" spans="1:17" ht="15.75">
      <c r="A145" s="225" t="str">
        <f>Source!H64</f>
        <v>ФОТ рабочих-строителей</v>
      </c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7">
        <f>Source!F64</f>
        <v>6694.97</v>
      </c>
      <c r="O145" s="227"/>
      <c r="P145" s="228"/>
      <c r="Q145" s="110"/>
    </row>
    <row r="146" spans="1:17" ht="15.75">
      <c r="A146" s="225" t="str">
        <f>Source!H65</f>
        <v>ФОТ машинистов</v>
      </c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7">
        <f>Source!F65</f>
        <v>2344.97</v>
      </c>
      <c r="O146" s="227"/>
      <c r="P146" s="228"/>
      <c r="Q146" s="110"/>
    </row>
    <row r="147" spans="1:17" ht="15.75">
      <c r="A147" s="225" t="str">
        <f>Source!H68</f>
        <v>Эксплуатация машин и механизмов</v>
      </c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7">
        <f>Source!F68</f>
        <v>25192.86</v>
      </c>
      <c r="O147" s="227"/>
      <c r="P147" s="228"/>
      <c r="Q147" s="110"/>
    </row>
    <row r="148" spans="1:17" ht="15.75">
      <c r="A148" s="225" t="str">
        <f>Source!H69</f>
        <v>Итого перевозка</v>
      </c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7">
        <f>Source!F69</f>
        <v>1164.09</v>
      </c>
      <c r="O148" s="227"/>
      <c r="P148" s="228"/>
      <c r="Q148" s="110"/>
    </row>
    <row r="149" spans="1:17" ht="15.75">
      <c r="A149" s="225" t="str">
        <f>Source!H71</f>
        <v>Стоимость материалов</v>
      </c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7">
        <f>Source!F71</f>
        <v>290654.03</v>
      </c>
      <c r="O149" s="227"/>
      <c r="P149" s="228"/>
      <c r="Q149" s="110"/>
    </row>
    <row r="150" spans="1:17" ht="15.75">
      <c r="A150" s="225" t="str">
        <f>Source!H72</f>
        <v>Неучтенные материалы</v>
      </c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7">
        <f>Source!F72</f>
        <v>80819.02</v>
      </c>
      <c r="O150" s="227"/>
      <c r="P150" s="228"/>
      <c r="Q150" s="110"/>
    </row>
    <row r="151" spans="1:17" ht="15.75">
      <c r="A151" s="225" t="str">
        <f>Source!H73</f>
        <v>Итого накладные расходы</v>
      </c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7">
        <f>Source!F73</f>
        <v>12223.14</v>
      </c>
      <c r="O151" s="227"/>
      <c r="P151" s="228"/>
      <c r="Q151" s="110"/>
    </row>
    <row r="152" spans="1:17" ht="15.75">
      <c r="A152" s="225" t="str">
        <f>Source!H74</f>
        <v>Итого сметная прибыль</v>
      </c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7">
        <f>Source!F74</f>
        <v>6981.08</v>
      </c>
      <c r="O152" s="227"/>
      <c r="P152" s="228"/>
      <c r="Q152" s="110"/>
    </row>
    <row r="153" spans="1:17" ht="15.75">
      <c r="A153" s="225" t="str">
        <f>Source!H75</f>
        <v>Итого с накладными расходами и сметной прибылью</v>
      </c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7">
        <f>Source!F75</f>
        <v>423729.19</v>
      </c>
      <c r="O153" s="227"/>
      <c r="P153" s="228"/>
      <c r="Q153" s="110"/>
    </row>
    <row r="154" spans="1:17" ht="15.75">
      <c r="A154" s="225" t="str">
        <f>Source!H88</f>
        <v>НДС 18%</v>
      </c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7">
        <f>Source!F88</f>
        <v>76271.25</v>
      </c>
      <c r="O154" s="227"/>
      <c r="P154" s="228"/>
      <c r="Q154" s="110"/>
    </row>
    <row r="155" spans="1:17" ht="15.75">
      <c r="A155" s="225" t="str">
        <f>Source!H89</f>
        <v>Итого:</v>
      </c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7">
        <f>Source!F89</f>
        <v>500000.44</v>
      </c>
      <c r="O155" s="227"/>
      <c r="P155" s="228"/>
      <c r="Q155" s="110"/>
    </row>
    <row r="156" spans="1:17" ht="15">
      <c r="A156" s="111"/>
      <c r="B156" s="112"/>
      <c r="C156" s="113"/>
      <c r="D156" s="114"/>
      <c r="E156" s="114"/>
      <c r="F156" s="114"/>
      <c r="G156" s="114"/>
      <c r="H156" s="114"/>
      <c r="I156" s="114"/>
      <c r="J156" s="115"/>
      <c r="K156" s="115"/>
      <c r="L156" s="115"/>
      <c r="M156" s="115"/>
      <c r="N156" s="115"/>
      <c r="O156" s="115"/>
      <c r="P156" s="116"/>
      <c r="Q156" s="117"/>
    </row>
    <row r="157" spans="1:17" ht="15">
      <c r="A157" s="118"/>
      <c r="B157" s="119"/>
      <c r="C157" s="120"/>
      <c r="D157" s="121"/>
      <c r="E157" s="121"/>
      <c r="F157" s="121"/>
      <c r="G157" s="121"/>
      <c r="H157" s="121"/>
      <c r="I157" s="121"/>
      <c r="J157" s="122"/>
      <c r="K157" s="122"/>
      <c r="L157" s="122"/>
      <c r="M157" s="122"/>
      <c r="N157" s="122"/>
      <c r="O157" s="122"/>
      <c r="P157" s="117"/>
      <c r="Q157" s="117"/>
    </row>
    <row r="158" spans="1:17" ht="15">
      <c r="A158" s="118"/>
      <c r="B158" s="119"/>
      <c r="C158" s="120"/>
      <c r="D158" s="121"/>
      <c r="E158" s="121"/>
      <c r="F158" s="121"/>
      <c r="G158" s="121"/>
      <c r="H158" s="121"/>
      <c r="I158" s="121"/>
      <c r="J158" s="122"/>
      <c r="K158" s="122"/>
      <c r="L158" s="122"/>
      <c r="M158" s="122"/>
      <c r="N158" s="122"/>
      <c r="O158" s="122"/>
      <c r="P158" s="117"/>
      <c r="Q158" s="117"/>
    </row>
    <row r="159" spans="1:17" ht="15">
      <c r="A159" s="118"/>
      <c r="B159" s="138" t="s">
        <v>473</v>
      </c>
      <c r="C159" s="233" t="s">
        <v>476</v>
      </c>
      <c r="D159" s="233"/>
      <c r="E159" s="233"/>
      <c r="F159" s="121"/>
      <c r="G159" s="131"/>
      <c r="H159" s="131"/>
      <c r="I159" s="131"/>
      <c r="J159" s="235" t="s">
        <v>478</v>
      </c>
      <c r="K159" s="235"/>
      <c r="L159" s="235"/>
      <c r="M159" s="122"/>
      <c r="N159" s="122"/>
      <c r="O159" s="122"/>
      <c r="P159" s="117"/>
      <c r="Q159" s="117"/>
    </row>
    <row r="160" spans="1:17" ht="15">
      <c r="A160" s="118"/>
      <c r="B160" s="119"/>
      <c r="C160" s="233"/>
      <c r="D160" s="233"/>
      <c r="E160" s="233"/>
      <c r="F160" s="121"/>
      <c r="G160" s="232" t="s">
        <v>493</v>
      </c>
      <c r="H160" s="232"/>
      <c r="I160" s="232"/>
      <c r="J160" s="235"/>
      <c r="K160" s="235"/>
      <c r="L160" s="235"/>
      <c r="M160" s="122"/>
      <c r="N160" s="122"/>
      <c r="O160" s="122"/>
      <c r="P160" s="117"/>
      <c r="Q160" s="117"/>
    </row>
    <row r="161" spans="1:17" ht="15">
      <c r="A161" s="118"/>
      <c r="B161" s="119"/>
      <c r="C161" s="120"/>
      <c r="D161" s="121"/>
      <c r="E161" s="121"/>
      <c r="F161" s="121"/>
      <c r="J161" s="122"/>
      <c r="K161" s="122"/>
      <c r="L161" s="122"/>
      <c r="M161" s="122"/>
      <c r="N161" s="122"/>
      <c r="O161" s="122"/>
      <c r="P161" s="117"/>
      <c r="Q161" s="117"/>
    </row>
    <row r="162" spans="1:17" ht="15">
      <c r="A162" s="118"/>
      <c r="B162" s="138" t="s">
        <v>474</v>
      </c>
      <c r="C162" s="120"/>
      <c r="D162" s="121"/>
      <c r="E162" s="121"/>
      <c r="F162" s="121"/>
      <c r="G162" s="121"/>
      <c r="H162" s="121"/>
      <c r="I162" s="121"/>
      <c r="J162" s="122"/>
      <c r="K162" s="122"/>
      <c r="L162" s="122"/>
      <c r="M162" s="122"/>
      <c r="N162" s="122"/>
      <c r="O162" s="122"/>
      <c r="P162" s="117"/>
      <c r="Q162" s="117"/>
    </row>
    <row r="163" spans="1:17" ht="15">
      <c r="A163" s="118"/>
      <c r="B163" s="119"/>
      <c r="C163" s="233" t="s">
        <v>479</v>
      </c>
      <c r="D163" s="233"/>
      <c r="E163" s="233"/>
      <c r="F163" s="121"/>
      <c r="G163" s="234"/>
      <c r="H163" s="234"/>
      <c r="I163" s="234"/>
      <c r="J163" s="235" t="s">
        <v>477</v>
      </c>
      <c r="K163" s="235"/>
      <c r="L163" s="235"/>
      <c r="M163" s="122"/>
      <c r="N163" s="122"/>
      <c r="O163" s="122"/>
      <c r="P163" s="117"/>
      <c r="Q163" s="117"/>
    </row>
    <row r="164" spans="1:17" ht="15">
      <c r="A164" s="123"/>
      <c r="B164" s="121"/>
      <c r="C164" s="121"/>
      <c r="D164" s="139"/>
      <c r="E164" s="139"/>
      <c r="F164" s="139"/>
      <c r="G164" s="232" t="s">
        <v>493</v>
      </c>
      <c r="H164" s="232"/>
      <c r="I164" s="232"/>
      <c r="J164" s="139"/>
      <c r="K164" s="139"/>
      <c r="L164" s="139"/>
      <c r="M164" s="127"/>
      <c r="N164" s="127"/>
      <c r="O164" s="127"/>
      <c r="P164" s="127"/>
      <c r="Q164" s="127"/>
    </row>
  </sheetData>
  <mergeCells count="324">
    <mergeCell ref="K2:P2"/>
    <mergeCell ref="K3:P3"/>
    <mergeCell ref="K4:P4"/>
    <mergeCell ref="N6:P6"/>
    <mergeCell ref="L7:M7"/>
    <mergeCell ref="N7:P7"/>
    <mergeCell ref="C8:L8"/>
    <mergeCell ref="N8:P8"/>
    <mergeCell ref="C9:L9"/>
    <mergeCell ref="N9:P9"/>
    <mergeCell ref="C10:L10"/>
    <mergeCell ref="N10:P10"/>
    <mergeCell ref="C11:L11"/>
    <mergeCell ref="N11:P11"/>
    <mergeCell ref="C12:L12"/>
    <mergeCell ref="N12:P12"/>
    <mergeCell ref="C13:L13"/>
    <mergeCell ref="N13:P13"/>
    <mergeCell ref="C14:L14"/>
    <mergeCell ref="N14:P14"/>
    <mergeCell ref="C15:L15"/>
    <mergeCell ref="N15:P15"/>
    <mergeCell ref="C16:L16"/>
    <mergeCell ref="N16:P16"/>
    <mergeCell ref="C17:L17"/>
    <mergeCell ref="N17:P17"/>
    <mergeCell ref="I18:M18"/>
    <mergeCell ref="N18:P18"/>
    <mergeCell ref="G19:K19"/>
    <mergeCell ref="L19:M19"/>
    <mergeCell ref="N19:P19"/>
    <mergeCell ref="L20:M20"/>
    <mergeCell ref="N20:P20"/>
    <mergeCell ref="L21:M21"/>
    <mergeCell ref="N21:P21"/>
    <mergeCell ref="N22:P22"/>
    <mergeCell ref="K24:K25"/>
    <mergeCell ref="L24:L25"/>
    <mergeCell ref="N24:P24"/>
    <mergeCell ref="N25:O25"/>
    <mergeCell ref="N26:O26"/>
    <mergeCell ref="A29:Q29"/>
    <mergeCell ref="A30:P30"/>
    <mergeCell ref="A31:P31"/>
    <mergeCell ref="B33:L33"/>
    <mergeCell ref="A34:A41"/>
    <mergeCell ref="B34:B41"/>
    <mergeCell ref="C34:C41"/>
    <mergeCell ref="D34:D41"/>
    <mergeCell ref="E34:I35"/>
    <mergeCell ref="J34:N35"/>
    <mergeCell ref="M38:M41"/>
    <mergeCell ref="O34:P38"/>
    <mergeCell ref="E36:F37"/>
    <mergeCell ref="G36:H37"/>
    <mergeCell ref="I36:I41"/>
    <mergeCell ref="J36:K41"/>
    <mergeCell ref="L36:L41"/>
    <mergeCell ref="M36:M37"/>
    <mergeCell ref="N36:N41"/>
    <mergeCell ref="E38:F41"/>
    <mergeCell ref="G38:H41"/>
    <mergeCell ref="O39:P39"/>
    <mergeCell ref="O40:P41"/>
    <mergeCell ref="E42:F42"/>
    <mergeCell ref="G42:H42"/>
    <mergeCell ref="J42:K42"/>
    <mergeCell ref="O42:Q42"/>
    <mergeCell ref="E43:F43"/>
    <mergeCell ref="G43:H43"/>
    <mergeCell ref="J43:K43"/>
    <mergeCell ref="E44:F44"/>
    <mergeCell ref="G44:H44"/>
    <mergeCell ref="C45:D45"/>
    <mergeCell ref="C46:D46"/>
    <mergeCell ref="C47:D47"/>
    <mergeCell ref="C48:D48"/>
    <mergeCell ref="C49:E49"/>
    <mergeCell ref="G49:H49"/>
    <mergeCell ref="I49:J49"/>
    <mergeCell ref="N49:P49"/>
    <mergeCell ref="C50:E50"/>
    <mergeCell ref="G50:H50"/>
    <mergeCell ref="I50:J50"/>
    <mergeCell ref="N50:P50"/>
    <mergeCell ref="D51:D52"/>
    <mergeCell ref="E51:F51"/>
    <mergeCell ref="J51:K51"/>
    <mergeCell ref="E52:F52"/>
    <mergeCell ref="J52:K52"/>
    <mergeCell ref="E53:F53"/>
    <mergeCell ref="G53:H53"/>
    <mergeCell ref="J53:K53"/>
    <mergeCell ref="E54:F54"/>
    <mergeCell ref="G54:H54"/>
    <mergeCell ref="C55:D55"/>
    <mergeCell ref="C56:D56"/>
    <mergeCell ref="C57:D57"/>
    <mergeCell ref="C58:D58"/>
    <mergeCell ref="C59:E59"/>
    <mergeCell ref="G59:H59"/>
    <mergeCell ref="I59:J59"/>
    <mergeCell ref="N59:P59"/>
    <mergeCell ref="C60:E60"/>
    <mergeCell ref="G60:H60"/>
    <mergeCell ref="I60:J60"/>
    <mergeCell ref="N60:P60"/>
    <mergeCell ref="D61:D62"/>
    <mergeCell ref="E61:F61"/>
    <mergeCell ref="J61:K61"/>
    <mergeCell ref="E62:F62"/>
    <mergeCell ref="J62:K62"/>
    <mergeCell ref="D63:D64"/>
    <mergeCell ref="E63:F63"/>
    <mergeCell ref="J63:K63"/>
    <mergeCell ref="E64:F64"/>
    <mergeCell ref="J64:K64"/>
    <mergeCell ref="E65:F65"/>
    <mergeCell ref="G65:H65"/>
    <mergeCell ref="J65:K65"/>
    <mergeCell ref="E66:F66"/>
    <mergeCell ref="G66:H66"/>
    <mergeCell ref="C67:D67"/>
    <mergeCell ref="C68:D68"/>
    <mergeCell ref="C69:D69"/>
    <mergeCell ref="C70:D70"/>
    <mergeCell ref="C71:E71"/>
    <mergeCell ref="G71:H71"/>
    <mergeCell ref="I71:J71"/>
    <mergeCell ref="N71:P71"/>
    <mergeCell ref="C72:E72"/>
    <mergeCell ref="G72:H72"/>
    <mergeCell ref="I72:J72"/>
    <mergeCell ref="N72:P72"/>
    <mergeCell ref="D73:D74"/>
    <mergeCell ref="E73:F73"/>
    <mergeCell ref="J73:K73"/>
    <mergeCell ref="E74:F74"/>
    <mergeCell ref="J74:K74"/>
    <mergeCell ref="D75:D76"/>
    <mergeCell ref="E75:F75"/>
    <mergeCell ref="J75:K75"/>
    <mergeCell ref="E76:F76"/>
    <mergeCell ref="J76:K76"/>
    <mergeCell ref="E77:F77"/>
    <mergeCell ref="G77:H77"/>
    <mergeCell ref="J77:K77"/>
    <mergeCell ref="E78:F78"/>
    <mergeCell ref="G78:H78"/>
    <mergeCell ref="C79:D79"/>
    <mergeCell ref="C80:D80"/>
    <mergeCell ref="C81:D81"/>
    <mergeCell ref="C82:D82"/>
    <mergeCell ref="C83:E83"/>
    <mergeCell ref="G83:H83"/>
    <mergeCell ref="I83:J83"/>
    <mergeCell ref="N83:P83"/>
    <mergeCell ref="C84:E84"/>
    <mergeCell ref="G84:H84"/>
    <mergeCell ref="I84:J84"/>
    <mergeCell ref="N84:P84"/>
    <mergeCell ref="E85:F85"/>
    <mergeCell ref="G85:H85"/>
    <mergeCell ref="J85:K85"/>
    <mergeCell ref="E86:F86"/>
    <mergeCell ref="G86:H86"/>
    <mergeCell ref="C87:D87"/>
    <mergeCell ref="C88:D88"/>
    <mergeCell ref="C89:D89"/>
    <mergeCell ref="C90:D90"/>
    <mergeCell ref="C91:E91"/>
    <mergeCell ref="G91:H91"/>
    <mergeCell ref="I91:J91"/>
    <mergeCell ref="N91:P91"/>
    <mergeCell ref="C92:E92"/>
    <mergeCell ref="G92:H92"/>
    <mergeCell ref="I92:J92"/>
    <mergeCell ref="N92:P92"/>
    <mergeCell ref="E93:F93"/>
    <mergeCell ref="G93:H93"/>
    <mergeCell ref="J93:K93"/>
    <mergeCell ref="E94:F94"/>
    <mergeCell ref="G94:H94"/>
    <mergeCell ref="C95:D95"/>
    <mergeCell ref="C96:D96"/>
    <mergeCell ref="C97:D97"/>
    <mergeCell ref="C98:D98"/>
    <mergeCell ref="C99:E99"/>
    <mergeCell ref="G99:H99"/>
    <mergeCell ref="I99:J99"/>
    <mergeCell ref="N99:P99"/>
    <mergeCell ref="C100:E100"/>
    <mergeCell ref="G100:H100"/>
    <mergeCell ref="I100:J100"/>
    <mergeCell ref="N100:P100"/>
    <mergeCell ref="D101:D102"/>
    <mergeCell ref="E101:F101"/>
    <mergeCell ref="J101:K101"/>
    <mergeCell ref="E102:F102"/>
    <mergeCell ref="J102:K102"/>
    <mergeCell ref="D103:D104"/>
    <mergeCell ref="E103:F103"/>
    <mergeCell ref="J103:K103"/>
    <mergeCell ref="E104:F104"/>
    <mergeCell ref="J104:K104"/>
    <mergeCell ref="E105:F105"/>
    <mergeCell ref="G105:H105"/>
    <mergeCell ref="J105:K105"/>
    <mergeCell ref="E106:F106"/>
    <mergeCell ref="G106:H106"/>
    <mergeCell ref="C107:D107"/>
    <mergeCell ref="C108:D108"/>
    <mergeCell ref="C109:D109"/>
    <mergeCell ref="C110:D110"/>
    <mergeCell ref="C111:E111"/>
    <mergeCell ref="G111:H111"/>
    <mergeCell ref="I111:J111"/>
    <mergeCell ref="N111:P111"/>
    <mergeCell ref="C112:E112"/>
    <mergeCell ref="G112:H112"/>
    <mergeCell ref="I112:J112"/>
    <mergeCell ref="N112:P112"/>
    <mergeCell ref="D113:D114"/>
    <mergeCell ref="E113:F113"/>
    <mergeCell ref="J113:K113"/>
    <mergeCell ref="E114:F114"/>
    <mergeCell ref="J114:K114"/>
    <mergeCell ref="D115:D116"/>
    <mergeCell ref="E115:F115"/>
    <mergeCell ref="J115:K115"/>
    <mergeCell ref="E116:F116"/>
    <mergeCell ref="J116:K116"/>
    <mergeCell ref="E117:F117"/>
    <mergeCell ref="G117:H117"/>
    <mergeCell ref="J117:K117"/>
    <mergeCell ref="E118:F118"/>
    <mergeCell ref="G118:H118"/>
    <mergeCell ref="C119:D119"/>
    <mergeCell ref="C120:D120"/>
    <mergeCell ref="C121:D121"/>
    <mergeCell ref="C122:D122"/>
    <mergeCell ref="C123:E123"/>
    <mergeCell ref="G123:H123"/>
    <mergeCell ref="I123:J123"/>
    <mergeCell ref="N123:P123"/>
    <mergeCell ref="C124:E124"/>
    <mergeCell ref="G124:H124"/>
    <mergeCell ref="I124:J124"/>
    <mergeCell ref="N124:P124"/>
    <mergeCell ref="D125:D126"/>
    <mergeCell ref="E125:F125"/>
    <mergeCell ref="J125:K125"/>
    <mergeCell ref="E126:F126"/>
    <mergeCell ref="J126:K126"/>
    <mergeCell ref="D127:D128"/>
    <mergeCell ref="E127:F127"/>
    <mergeCell ref="J127:K127"/>
    <mergeCell ref="E128:F128"/>
    <mergeCell ref="J128:K128"/>
    <mergeCell ref="E129:F129"/>
    <mergeCell ref="G129:H129"/>
    <mergeCell ref="J129:K129"/>
    <mergeCell ref="E130:F130"/>
    <mergeCell ref="G130:H130"/>
    <mergeCell ref="C131:D131"/>
    <mergeCell ref="C132:D132"/>
    <mergeCell ref="C133:D133"/>
    <mergeCell ref="C134:D134"/>
    <mergeCell ref="C135:E135"/>
    <mergeCell ref="G135:H135"/>
    <mergeCell ref="I135:J135"/>
    <mergeCell ref="N135:P135"/>
    <mergeCell ref="C136:E136"/>
    <mergeCell ref="G136:H136"/>
    <mergeCell ref="I136:J136"/>
    <mergeCell ref="N136:P136"/>
    <mergeCell ref="E137:F137"/>
    <mergeCell ref="G137:H137"/>
    <mergeCell ref="J137:K137"/>
    <mergeCell ref="E138:F138"/>
    <mergeCell ref="G138:H138"/>
    <mergeCell ref="C139:D139"/>
    <mergeCell ref="C140:D140"/>
    <mergeCell ref="C141:D141"/>
    <mergeCell ref="C142:D142"/>
    <mergeCell ref="C143:E143"/>
    <mergeCell ref="G143:H143"/>
    <mergeCell ref="I143:J143"/>
    <mergeCell ref="N143:P143"/>
    <mergeCell ref="C144:E144"/>
    <mergeCell ref="G144:H144"/>
    <mergeCell ref="I144:J144"/>
    <mergeCell ref="N144:P144"/>
    <mergeCell ref="A145:M145"/>
    <mergeCell ref="N145:P145"/>
    <mergeCell ref="A146:M146"/>
    <mergeCell ref="N146:P146"/>
    <mergeCell ref="A147:M147"/>
    <mergeCell ref="N147:P147"/>
    <mergeCell ref="A148:M148"/>
    <mergeCell ref="N148:P148"/>
    <mergeCell ref="A149:M149"/>
    <mergeCell ref="N149:P149"/>
    <mergeCell ref="A150:M150"/>
    <mergeCell ref="N150:P150"/>
    <mergeCell ref="A151:M151"/>
    <mergeCell ref="N151:P151"/>
    <mergeCell ref="A152:M152"/>
    <mergeCell ref="N152:P152"/>
    <mergeCell ref="A153:M153"/>
    <mergeCell ref="N153:P153"/>
    <mergeCell ref="A154:M154"/>
    <mergeCell ref="N154:P154"/>
    <mergeCell ref="A155:M155"/>
    <mergeCell ref="N155:P155"/>
    <mergeCell ref="C160:E160"/>
    <mergeCell ref="G160:I160"/>
    <mergeCell ref="J160:L160"/>
    <mergeCell ref="C159:E159"/>
    <mergeCell ref="J159:L159"/>
    <mergeCell ref="G164:I164"/>
    <mergeCell ref="C163:E163"/>
    <mergeCell ref="G163:I163"/>
    <mergeCell ref="J163:L163"/>
  </mergeCells>
  <printOptions/>
  <pageMargins left="0.38" right="0.11" top="0.5511811023622047" bottom="0.5905511811023623" header="0.2362204724409449" footer="0.2362204724409449"/>
  <pageSetup horizontalDpi="1200" verticalDpi="1200" orientation="portrait" paperSize="9" scale="60" r:id="rId1"/>
  <headerFooter alignWithMargins="0">
    <oddHeader>&amp;L&amp;"Arial Cyr,полужирный"&amp;6Программа SMETA.RU (8312)33-47-58</oddHeader>
    <oddFooter>&amp;R&amp;P</oddFooter>
  </headerFooter>
  <rowBreaks count="1" manualBreakCount="1">
    <brk id="1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="75" zoomScaleNormal="75" workbookViewId="0" topLeftCell="A3">
      <selection activeCell="H6" sqref="H6"/>
    </sheetView>
  </sheetViews>
  <sheetFormatPr defaultColWidth="9.140625" defaultRowHeight="12.75"/>
  <cols>
    <col min="1" max="1" width="9.140625" style="153" customWidth="1"/>
    <col min="2" max="2" width="89.28125" style="153" customWidth="1"/>
    <col min="3" max="4" width="18.28125" style="153" customWidth="1"/>
    <col min="5" max="16384" width="9.140625" style="153" customWidth="1"/>
  </cols>
  <sheetData>
    <row r="1" spans="1:4" ht="44.25" customHeight="1">
      <c r="A1" s="291" t="s">
        <v>256</v>
      </c>
      <c r="B1" s="291"/>
      <c r="C1" s="291"/>
      <c r="D1" s="291"/>
    </row>
    <row r="2" spans="1:4" ht="62.25" customHeight="1">
      <c r="A2" s="292" t="str">
        <f>Смета!A13</f>
        <v>Асфальтирование придомовой территории по адресу:ул.Колесанова, д.4</v>
      </c>
      <c r="B2" s="292"/>
      <c r="C2" s="292"/>
      <c r="D2" s="292"/>
    </row>
    <row r="3" ht="41.25" customHeight="1" thickBot="1"/>
    <row r="4" spans="1:4" ht="36.75" thickBot="1">
      <c r="A4" s="154" t="s">
        <v>257</v>
      </c>
      <c r="B4" s="155" t="s">
        <v>258</v>
      </c>
      <c r="C4" s="155" t="s">
        <v>259</v>
      </c>
      <c r="D4" s="156" t="s">
        <v>502</v>
      </c>
    </row>
    <row r="5" spans="1:4" ht="57.75" customHeight="1">
      <c r="A5" s="157">
        <v>1</v>
      </c>
      <c r="B5" s="158" t="s">
        <v>547</v>
      </c>
      <c r="C5" s="159" t="s">
        <v>561</v>
      </c>
      <c r="D5" s="160">
        <f>'Акт КС 2 '!D43*100</f>
        <v>59.27</v>
      </c>
    </row>
    <row r="6" spans="1:4" ht="57.75" customHeight="1">
      <c r="A6" s="161">
        <v>2</v>
      </c>
      <c r="B6" s="162" t="s">
        <v>260</v>
      </c>
      <c r="C6" s="163" t="s">
        <v>1</v>
      </c>
      <c r="D6" s="164">
        <f>'Акт КС 2 '!D53*100</f>
        <v>17.02</v>
      </c>
    </row>
    <row r="7" spans="1:4" ht="57.75" customHeight="1">
      <c r="A7" s="161">
        <v>3</v>
      </c>
      <c r="B7" s="162" t="s">
        <v>8</v>
      </c>
      <c r="C7" s="163" t="s">
        <v>1</v>
      </c>
      <c r="D7" s="165">
        <f>'Акт КС 2 '!D65</f>
        <v>0.2797</v>
      </c>
    </row>
    <row r="8" spans="1:4" ht="57.75" customHeight="1">
      <c r="A8" s="161">
        <v>4</v>
      </c>
      <c r="B8" s="162" t="s">
        <v>261</v>
      </c>
      <c r="C8" s="163" t="s">
        <v>262</v>
      </c>
      <c r="D8" s="164">
        <f>'Акт КС 2 '!D77*1000</f>
        <v>359.3</v>
      </c>
    </row>
    <row r="9" spans="1:4" ht="57.75" customHeight="1">
      <c r="A9" s="161">
        <v>5</v>
      </c>
      <c r="B9" s="162" t="s">
        <v>263</v>
      </c>
      <c r="C9" s="163" t="s">
        <v>1</v>
      </c>
      <c r="D9" s="165">
        <f>'Акт КС 2 '!D93*100</f>
        <v>16.11</v>
      </c>
    </row>
    <row r="10" spans="1:4" ht="57.75" customHeight="1">
      <c r="A10" s="161">
        <v>6</v>
      </c>
      <c r="B10" s="162" t="s">
        <v>264</v>
      </c>
      <c r="C10" s="163" t="s">
        <v>262</v>
      </c>
      <c r="D10" s="164">
        <f>'Акт КС 2 '!D105*100</f>
        <v>340</v>
      </c>
    </row>
    <row r="11" spans="1:4" ht="57.75" customHeight="1">
      <c r="A11" s="161">
        <v>7</v>
      </c>
      <c r="B11" s="162" t="s">
        <v>265</v>
      </c>
      <c r="C11" s="163" t="s">
        <v>1</v>
      </c>
      <c r="D11" s="165">
        <f>'Акт КС 2 '!D129</f>
        <v>16.759999999999998</v>
      </c>
    </row>
    <row r="12" spans="1:4" s="172" customFormat="1" ht="57.75" customHeight="1" thickBot="1">
      <c r="A12" s="168">
        <v>8</v>
      </c>
      <c r="B12" s="169" t="s">
        <v>266</v>
      </c>
      <c r="C12" s="170" t="s">
        <v>267</v>
      </c>
      <c r="D12" s="171">
        <v>0</v>
      </c>
    </row>
    <row r="13" spans="1:4" ht="12.75">
      <c r="A13" s="166"/>
      <c r="B13" s="167"/>
      <c r="C13" s="166"/>
      <c r="D13" s="166"/>
    </row>
    <row r="14" spans="1:4" ht="12.75">
      <c r="A14" s="166"/>
      <c r="B14" s="167"/>
      <c r="C14" s="166"/>
      <c r="D14" s="166"/>
    </row>
    <row r="15" spans="1:4" ht="12.75">
      <c r="A15" s="166"/>
      <c r="B15" s="167"/>
      <c r="C15" s="166"/>
      <c r="D15" s="166"/>
    </row>
    <row r="16" spans="1:4" ht="12.75">
      <c r="A16" s="166"/>
      <c r="B16" s="167"/>
      <c r="C16" s="166"/>
      <c r="D16" s="166"/>
    </row>
    <row r="17" spans="1:4" ht="12.75">
      <c r="A17" s="166"/>
      <c r="B17" s="167"/>
      <c r="C17" s="166"/>
      <c r="D17" s="166"/>
    </row>
    <row r="18" spans="1:4" ht="12.75">
      <c r="A18" s="166"/>
      <c r="B18" s="167"/>
      <c r="C18" s="166"/>
      <c r="D18" s="166"/>
    </row>
    <row r="19" spans="1:4" ht="12.75">
      <c r="A19" s="166"/>
      <c r="B19" s="167"/>
      <c r="C19" s="166"/>
      <c r="D19" s="166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Y197"/>
  <sheetViews>
    <sheetView workbookViewId="0" topLeftCell="A19">
      <selection activeCell="G21" sqref="G21"/>
    </sheetView>
  </sheetViews>
  <sheetFormatPr defaultColWidth="9.140625" defaultRowHeight="12.75"/>
  <sheetData>
    <row r="1" spans="1:12" ht="12.75">
      <c r="A1">
        <v>0</v>
      </c>
      <c r="B1" t="s">
        <v>531</v>
      </c>
      <c r="D1" t="s">
        <v>532</v>
      </c>
      <c r="F1">
        <v>0</v>
      </c>
      <c r="G1">
        <v>0</v>
      </c>
      <c r="H1">
        <v>0</v>
      </c>
      <c r="I1" t="s">
        <v>533</v>
      </c>
      <c r="K1">
        <v>1</v>
      </c>
      <c r="L1">
        <v>25256</v>
      </c>
    </row>
    <row r="12" spans="1:104" ht="12.75">
      <c r="A12" s="1">
        <v>1</v>
      </c>
      <c r="B12" s="1">
        <v>1</v>
      </c>
      <c r="C12" s="1">
        <v>0</v>
      </c>
      <c r="D12" s="1">
        <f>ROW(A91)</f>
        <v>91</v>
      </c>
      <c r="E12" s="1">
        <v>0</v>
      </c>
      <c r="F12" s="1" t="s">
        <v>535</v>
      </c>
      <c r="G12" s="1" t="s">
        <v>536</v>
      </c>
      <c r="H12" s="1" t="s">
        <v>534</v>
      </c>
      <c r="I12" s="1">
        <v>0</v>
      </c>
      <c r="J12" s="1" t="s">
        <v>534</v>
      </c>
      <c r="K12" s="1" t="s">
        <v>534</v>
      </c>
      <c r="L12" s="1" t="s">
        <v>534</v>
      </c>
      <c r="M12" s="1" t="s">
        <v>534</v>
      </c>
      <c r="N12" s="1" t="s">
        <v>534</v>
      </c>
      <c r="O12" s="1" t="s">
        <v>534</v>
      </c>
      <c r="P12" s="1">
        <v>0</v>
      </c>
      <c r="Q12" s="1">
        <v>0</v>
      </c>
      <c r="R12" s="1" t="s">
        <v>534</v>
      </c>
      <c r="S12" s="1" t="s">
        <v>534</v>
      </c>
      <c r="T12" s="1" t="s">
        <v>534</v>
      </c>
      <c r="U12" s="1" t="s">
        <v>534</v>
      </c>
      <c r="V12" s="1">
        <v>-3</v>
      </c>
      <c r="W12" s="1" t="s">
        <v>534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 t="s">
        <v>534</v>
      </c>
      <c r="AM12" s="1" t="s">
        <v>534</v>
      </c>
      <c r="AN12" s="1">
        <v>0</v>
      </c>
      <c r="AO12" s="1" t="s">
        <v>534</v>
      </c>
      <c r="AP12" s="1" t="s">
        <v>534</v>
      </c>
      <c r="AQ12" s="1" t="s">
        <v>534</v>
      </c>
      <c r="AR12" s="1" t="s">
        <v>534</v>
      </c>
      <c r="AS12" s="1" t="s">
        <v>534</v>
      </c>
      <c r="AT12" s="1" t="s">
        <v>534</v>
      </c>
      <c r="AU12" s="1" t="s">
        <v>534</v>
      </c>
      <c r="AV12" s="1" t="s">
        <v>534</v>
      </c>
      <c r="AW12" s="1" t="s">
        <v>534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14724165</v>
      </c>
      <c r="BE12" s="1" t="s">
        <v>537</v>
      </c>
      <c r="BF12" s="1" t="s">
        <v>538</v>
      </c>
      <c r="BG12" s="1">
        <v>13259198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0</v>
      </c>
      <c r="BW12" s="1">
        <v>0</v>
      </c>
      <c r="BX12" s="1">
        <v>0</v>
      </c>
      <c r="BY12" s="1">
        <v>1</v>
      </c>
      <c r="BZ12" s="1">
        <v>0</v>
      </c>
      <c r="CA12" s="1">
        <v>12242100</v>
      </c>
      <c r="CB12" s="1">
        <v>12242092</v>
      </c>
      <c r="CC12" s="1">
        <v>12242090</v>
      </c>
      <c r="CD12" s="1">
        <v>12242088</v>
      </c>
      <c r="CE12" s="1">
        <v>0</v>
      </c>
      <c r="CF12" s="1">
        <v>0</v>
      </c>
      <c r="CG12" s="1" t="s">
        <v>534</v>
      </c>
      <c r="CH12" s="1" t="s">
        <v>534</v>
      </c>
      <c r="CI12" s="1" t="s">
        <v>534</v>
      </c>
      <c r="CJ12" s="1">
        <v>0</v>
      </c>
      <c r="CK12" s="1">
        <v>12735202</v>
      </c>
      <c r="CL12" s="1" t="s">
        <v>539</v>
      </c>
      <c r="CM12" s="1" t="s">
        <v>540</v>
      </c>
      <c r="CN12" s="1" t="s">
        <v>541</v>
      </c>
      <c r="CO12" s="1" t="s">
        <v>541</v>
      </c>
      <c r="CP12" s="1" t="s">
        <v>541</v>
      </c>
      <c r="CQ12" s="1" t="s">
        <v>541</v>
      </c>
      <c r="CR12" s="1" t="s">
        <v>542</v>
      </c>
      <c r="CS12" s="1">
        <v>6895400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8</v>
      </c>
      <c r="CZ12" s="1" t="s">
        <v>534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43" ht="12.75">
      <c r="A18" s="2">
        <v>52</v>
      </c>
      <c r="B18" s="2">
        <f aca="true" t="shared" si="0" ref="B18:AQ18">B91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Депутатские наказы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404524.97</v>
      </c>
      <c r="P18" s="2">
        <f t="shared" si="0"/>
        <v>371473.05</v>
      </c>
      <c r="Q18" s="2">
        <f t="shared" si="0"/>
        <v>26356.95</v>
      </c>
      <c r="R18" s="2">
        <f t="shared" si="0"/>
        <v>2344.97</v>
      </c>
      <c r="S18" s="2">
        <f t="shared" si="0"/>
        <v>6694.97</v>
      </c>
      <c r="T18" s="2">
        <f t="shared" si="0"/>
        <v>0</v>
      </c>
      <c r="U18" s="2">
        <f t="shared" si="0"/>
        <v>146.71</v>
      </c>
      <c r="V18" s="2">
        <f t="shared" si="0"/>
        <v>52.51</v>
      </c>
      <c r="W18" s="2">
        <f t="shared" si="0"/>
        <v>0</v>
      </c>
      <c r="X18" s="2">
        <f t="shared" si="0"/>
        <v>12223.14</v>
      </c>
      <c r="Y18" s="2">
        <f t="shared" si="0"/>
        <v>6981.08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0</v>
      </c>
      <c r="AQ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ROW(A48)</f>
        <v>48</v>
      </c>
      <c r="E20" s="1"/>
      <c r="F20" s="1" t="s">
        <v>543</v>
      </c>
      <c r="G20" s="1" t="s">
        <v>268</v>
      </c>
      <c r="H20" s="1"/>
      <c r="I20" s="1"/>
      <c r="J20" s="1" t="s">
        <v>534</v>
      </c>
      <c r="K20" s="1"/>
      <c r="L20" s="1"/>
      <c r="M20" s="1"/>
      <c r="N20" s="1" t="s">
        <v>534</v>
      </c>
      <c r="O20" s="1"/>
      <c r="P20" s="1"/>
      <c r="Q20" s="1"/>
      <c r="R20" s="1" t="s">
        <v>534</v>
      </c>
      <c r="S20" s="1" t="s">
        <v>534</v>
      </c>
      <c r="T20" s="1" t="s">
        <v>534</v>
      </c>
      <c r="U20" s="1" t="s">
        <v>534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534</v>
      </c>
      <c r="AP20" s="1" t="s">
        <v>534</v>
      </c>
      <c r="AQ20" s="1" t="s">
        <v>534</v>
      </c>
      <c r="AR20" s="1"/>
      <c r="AS20" s="1"/>
      <c r="AT20" s="1" t="s">
        <v>534</v>
      </c>
      <c r="AU20" s="1" t="s">
        <v>534</v>
      </c>
      <c r="AV20" s="1" t="s">
        <v>534</v>
      </c>
      <c r="AW20" s="1" t="s">
        <v>534</v>
      </c>
      <c r="AX20" s="1" t="s">
        <v>534</v>
      </c>
      <c r="AY20" s="1" t="s">
        <v>534</v>
      </c>
      <c r="AZ20" s="1" t="s">
        <v>534</v>
      </c>
      <c r="BA20" s="1" t="s">
        <v>534</v>
      </c>
      <c r="BB20" s="1" t="s">
        <v>534</v>
      </c>
      <c r="BC20" s="1" t="s">
        <v>534</v>
      </c>
      <c r="BD20" s="1" t="s">
        <v>534</v>
      </c>
      <c r="BE20" s="1" t="s">
        <v>544</v>
      </c>
      <c r="BF20" s="1">
        <v>0</v>
      </c>
      <c r="BG20" s="1">
        <v>0</v>
      </c>
      <c r="BH20" s="1" t="s">
        <v>534</v>
      </c>
      <c r="BI20" s="1" t="s">
        <v>534</v>
      </c>
      <c r="BJ20" s="1" t="s">
        <v>534</v>
      </c>
      <c r="BK20" s="1" t="s">
        <v>534</v>
      </c>
      <c r="BL20" s="1" t="s">
        <v>534</v>
      </c>
      <c r="BM20" s="1">
        <v>0</v>
      </c>
      <c r="BN20" s="1" t="s">
        <v>534</v>
      </c>
      <c r="BO20" s="1" t="s">
        <v>534</v>
      </c>
    </row>
    <row r="22" spans="1:43" ht="12.75">
      <c r="A22" s="2">
        <v>52</v>
      </c>
      <c r="B22" s="2">
        <f aca="true" t="shared" si="1" ref="B22:AQ22">B48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Капитальный ремонт и ремонт дворовых территорий многоквартирных домов, проездов к дворовым территориям многоквартирных домов - ул. Колесанова, д. 4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404524.97</v>
      </c>
      <c r="P22" s="2">
        <f t="shared" si="1"/>
        <v>371473.05</v>
      </c>
      <c r="Q22" s="2">
        <f t="shared" si="1"/>
        <v>26356.95</v>
      </c>
      <c r="R22" s="2">
        <f t="shared" si="1"/>
        <v>2344.97</v>
      </c>
      <c r="S22" s="2">
        <f t="shared" si="1"/>
        <v>6694.97</v>
      </c>
      <c r="T22" s="2">
        <f t="shared" si="1"/>
        <v>0</v>
      </c>
      <c r="U22" s="2">
        <f t="shared" si="1"/>
        <v>146.71</v>
      </c>
      <c r="V22" s="2">
        <f t="shared" si="1"/>
        <v>52.51</v>
      </c>
      <c r="W22" s="2">
        <f t="shared" si="1"/>
        <v>0</v>
      </c>
      <c r="X22" s="2">
        <f t="shared" si="1"/>
        <v>12223.14</v>
      </c>
      <c r="Y22" s="2">
        <f t="shared" si="1"/>
        <v>6981.08</v>
      </c>
      <c r="Z22" s="2">
        <f t="shared" si="1"/>
        <v>0</v>
      </c>
      <c r="AA22" s="2">
        <f t="shared" si="1"/>
        <v>0</v>
      </c>
      <c r="AB22" s="2">
        <f t="shared" si="1"/>
        <v>404524.97</v>
      </c>
      <c r="AC22" s="2">
        <f t="shared" si="1"/>
        <v>371473.05</v>
      </c>
      <c r="AD22" s="2">
        <f t="shared" si="1"/>
        <v>26356.95</v>
      </c>
      <c r="AE22" s="2">
        <f t="shared" si="1"/>
        <v>2344.97</v>
      </c>
      <c r="AF22" s="2">
        <f t="shared" si="1"/>
        <v>6694.97</v>
      </c>
      <c r="AG22" s="2">
        <f t="shared" si="1"/>
        <v>0</v>
      </c>
      <c r="AH22" s="2">
        <f t="shared" si="1"/>
        <v>146.71</v>
      </c>
      <c r="AI22" s="2">
        <f t="shared" si="1"/>
        <v>52.51</v>
      </c>
      <c r="AJ22" s="2">
        <f t="shared" si="1"/>
        <v>0</v>
      </c>
      <c r="AK22" s="2">
        <f t="shared" si="1"/>
        <v>12223.14</v>
      </c>
      <c r="AL22" s="2">
        <f t="shared" si="1"/>
        <v>6981.08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0</v>
      </c>
      <c r="AQ22" s="2">
        <f t="shared" si="1"/>
        <v>0</v>
      </c>
    </row>
    <row r="24" spans="1:181" ht="12.75">
      <c r="A24">
        <v>17</v>
      </c>
      <c r="B24">
        <v>1</v>
      </c>
      <c r="C24">
        <f>ROW(SmtRes!A9)</f>
        <v>9</v>
      </c>
      <c r="D24">
        <f>ROW(EtalonRes!A9)</f>
        <v>9</v>
      </c>
      <c r="E24" t="s">
        <v>545</v>
      </c>
      <c r="F24" t="s">
        <v>546</v>
      </c>
      <c r="G24" t="s">
        <v>547</v>
      </c>
      <c r="H24" t="s">
        <v>548</v>
      </c>
      <c r="I24">
        <f>ROUND((359.3+340)*0.4*0.267/1.26/100,4)</f>
        <v>0.5927</v>
      </c>
      <c r="J24">
        <v>0</v>
      </c>
      <c r="O24">
        <f aca="true" t="shared" si="2" ref="O24:O46">ROUND(CP24,2)</f>
        <v>12937.79</v>
      </c>
      <c r="P24">
        <f aca="true" t="shared" si="3" ref="P24:P46">ROUND(CQ24*I24,2)</f>
        <v>50.01</v>
      </c>
      <c r="Q24">
        <f aca="true" t="shared" si="4" ref="Q24:Q46">ROUND(CR24*I24,2)</f>
        <v>12228.83</v>
      </c>
      <c r="R24">
        <f aca="true" t="shared" si="5" ref="R24:R46">ROUND(CS24*I24,2)</f>
        <v>1028.37</v>
      </c>
      <c r="S24">
        <f aca="true" t="shared" si="6" ref="S24:S46">ROUND(CT24*I24,2)</f>
        <v>658.95</v>
      </c>
      <c r="T24">
        <f aca="true" t="shared" si="7" ref="T24:T46">ROUND(CU24*I24,2)</f>
        <v>0</v>
      </c>
      <c r="U24">
        <f aca="true" t="shared" si="8" ref="U24:U46">CV24*I24</f>
        <v>16.48802495</v>
      </c>
      <c r="V24">
        <f aca="true" t="shared" si="9" ref="V24:V46">CW24*I24</f>
        <v>15.262025</v>
      </c>
      <c r="W24">
        <f aca="true" t="shared" si="10" ref="W24:W46">ROUND(CX24*I24,2)</f>
        <v>0</v>
      </c>
      <c r="X24">
        <f aca="true" t="shared" si="11" ref="X24:X46">ROUND(CY24,2)</f>
        <v>2395.99</v>
      </c>
      <c r="Y24">
        <f aca="true" t="shared" si="12" ref="Y24:Y46">ROUND(CZ24,2)</f>
        <v>1366.73</v>
      </c>
      <c r="AA24">
        <v>0</v>
      </c>
      <c r="AB24">
        <f aca="true" t="shared" si="13" ref="AB24:AB46">(AC24+AD24+AF24)</f>
        <v>4418.735000000001</v>
      </c>
      <c r="AC24">
        <f>(ES24)</f>
        <v>17.08</v>
      </c>
      <c r="AD24">
        <f>((ET24*1.25))</f>
        <v>4176.6</v>
      </c>
      <c r="AE24">
        <f>((EU24*1.25))</f>
        <v>351.225</v>
      </c>
      <c r="AF24">
        <f>((EV24*1.15))</f>
        <v>225.05499999999998</v>
      </c>
      <c r="AG24">
        <f>(AP24)</f>
        <v>0</v>
      </c>
      <c r="AH24">
        <f>((EW24*1.15))</f>
        <v>27.8185</v>
      </c>
      <c r="AI24">
        <f>((EX24*1.25))</f>
        <v>25.75</v>
      </c>
      <c r="AJ24">
        <f>(AS24)</f>
        <v>0</v>
      </c>
      <c r="AK24">
        <v>3554.06</v>
      </c>
      <c r="AL24">
        <v>17.08</v>
      </c>
      <c r="AM24">
        <v>3341.28</v>
      </c>
      <c r="AN24">
        <v>280.98</v>
      </c>
      <c r="AO24">
        <v>195.7</v>
      </c>
      <c r="AP24">
        <v>0</v>
      </c>
      <c r="AQ24">
        <v>24.19</v>
      </c>
      <c r="AR24">
        <v>20.6</v>
      </c>
      <c r="AS24">
        <v>0</v>
      </c>
      <c r="AT24">
        <v>142</v>
      </c>
      <c r="AU24">
        <v>81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4.94</v>
      </c>
      <c r="BB24">
        <v>4.94</v>
      </c>
      <c r="BC24">
        <v>4.94</v>
      </c>
      <c r="BH24">
        <v>0</v>
      </c>
      <c r="BI24">
        <v>1</v>
      </c>
      <c r="BJ24" t="s">
        <v>549</v>
      </c>
      <c r="BM24">
        <v>27001</v>
      </c>
      <c r="BN24">
        <v>0</v>
      </c>
      <c r="BO24" t="s">
        <v>550</v>
      </c>
      <c r="BP24">
        <v>1</v>
      </c>
      <c r="BQ24">
        <v>2</v>
      </c>
      <c r="BR24">
        <v>0</v>
      </c>
      <c r="BS24">
        <v>4.94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142</v>
      </c>
      <c r="CA24">
        <v>95</v>
      </c>
      <c r="CF24">
        <v>0</v>
      </c>
      <c r="CG24">
        <v>0</v>
      </c>
      <c r="CM24">
        <v>0</v>
      </c>
      <c r="CO24">
        <v>0</v>
      </c>
      <c r="CP24">
        <f aca="true" t="shared" si="14" ref="CP24:CP46">(P24+Q24+S24)</f>
        <v>12937.79</v>
      </c>
      <c r="CQ24">
        <f aca="true" t="shared" si="15" ref="CQ24:CQ46">(AC24)*BC24</f>
        <v>84.37519999999999</v>
      </c>
      <c r="CR24">
        <f aca="true" t="shared" si="16" ref="CR24:CR46">(AD24)*BB24</f>
        <v>20632.404000000002</v>
      </c>
      <c r="CS24">
        <f aca="true" t="shared" si="17" ref="CS24:CS46">(AE24)*BS24</f>
        <v>1735.0515000000003</v>
      </c>
      <c r="CT24">
        <f aca="true" t="shared" si="18" ref="CT24:CT46">(AF24)*BA24</f>
        <v>1111.7717</v>
      </c>
      <c r="CU24">
        <f aca="true" t="shared" si="19" ref="CU24:CU46">(AG24)*BT24</f>
        <v>0</v>
      </c>
      <c r="CV24">
        <f aca="true" t="shared" si="20" ref="CV24:CV46">(AH24)*BU24</f>
        <v>27.8185</v>
      </c>
      <c r="CW24">
        <f aca="true" t="shared" si="21" ref="CW24:CW46">(AI24)*BV24</f>
        <v>25.75</v>
      </c>
      <c r="CX24">
        <f aca="true" t="shared" si="22" ref="CX24:CX46">(AJ24)*BW24</f>
        <v>0</v>
      </c>
      <c r="CY24">
        <f>((S24+R24)*(ROUND((FX24*IF((0=1),0.94,1)*IF((0=1),1,1)),0)/100))</f>
        <v>2395.9943999999996</v>
      </c>
      <c r="CZ24">
        <f>((S24+R24)*(ROUND((FY24*0.85),0)/100))</f>
        <v>1366.7292</v>
      </c>
      <c r="DE24" t="s">
        <v>551</v>
      </c>
      <c r="DF24" t="s">
        <v>551</v>
      </c>
      <c r="DG24" t="s">
        <v>552</v>
      </c>
      <c r="DI24" t="s">
        <v>552</v>
      </c>
      <c r="DJ24" t="s">
        <v>551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1007</v>
      </c>
      <c r="DV24" t="s">
        <v>548</v>
      </c>
      <c r="DW24" t="s">
        <v>553</v>
      </c>
      <c r="DX24">
        <v>100</v>
      </c>
      <c r="EE24">
        <v>13259380</v>
      </c>
      <c r="EF24">
        <v>2</v>
      </c>
      <c r="EG24" t="s">
        <v>554</v>
      </c>
      <c r="EH24">
        <v>0</v>
      </c>
      <c r="EJ24">
        <v>1</v>
      </c>
      <c r="EK24">
        <v>27001</v>
      </c>
      <c r="EL24" t="s">
        <v>555</v>
      </c>
      <c r="EM24" t="s">
        <v>556</v>
      </c>
      <c r="EQ24">
        <v>0</v>
      </c>
      <c r="ER24">
        <v>3554.06</v>
      </c>
      <c r="ES24">
        <v>17.08</v>
      </c>
      <c r="ET24">
        <v>3341.28</v>
      </c>
      <c r="EU24">
        <v>280.98</v>
      </c>
      <c r="EV24">
        <v>195.7</v>
      </c>
      <c r="EW24">
        <v>24.19</v>
      </c>
      <c r="EX24">
        <v>20.6</v>
      </c>
      <c r="EY24">
        <v>0</v>
      </c>
      <c r="EZ24">
        <v>0</v>
      </c>
      <c r="FQ24">
        <v>0</v>
      </c>
      <c r="FR24">
        <f aca="true" t="shared" si="23" ref="FR24:FR46">ROUND(IF(AND(AA24=0,BI24=3),P24,0),2)</f>
        <v>0</v>
      </c>
      <c r="FS24">
        <v>0</v>
      </c>
      <c r="FW24" t="s">
        <v>557</v>
      </c>
      <c r="FX24">
        <v>142</v>
      </c>
      <c r="FY24">
        <v>95</v>
      </c>
    </row>
    <row r="25" spans="1:181" ht="12.75">
      <c r="A25">
        <v>18</v>
      </c>
      <c r="B25">
        <v>1</v>
      </c>
      <c r="C25">
        <v>8</v>
      </c>
      <c r="E25" t="s">
        <v>558</v>
      </c>
      <c r="F25" t="s">
        <v>559</v>
      </c>
      <c r="G25" t="s">
        <v>560</v>
      </c>
      <c r="H25" t="s">
        <v>561</v>
      </c>
      <c r="I25">
        <f>I24*J25</f>
        <v>74.6802</v>
      </c>
      <c r="J25">
        <v>126</v>
      </c>
      <c r="O25">
        <f t="shared" si="2"/>
        <v>37998.78</v>
      </c>
      <c r="P25">
        <f t="shared" si="3"/>
        <v>37998.78</v>
      </c>
      <c r="Q25">
        <f t="shared" si="4"/>
        <v>0</v>
      </c>
      <c r="R25">
        <f t="shared" si="5"/>
        <v>0</v>
      </c>
      <c r="S25">
        <f t="shared" si="6"/>
        <v>0</v>
      </c>
      <c r="T25">
        <f t="shared" si="7"/>
        <v>0</v>
      </c>
      <c r="U25">
        <f t="shared" si="8"/>
        <v>0</v>
      </c>
      <c r="V25">
        <f t="shared" si="9"/>
        <v>0</v>
      </c>
      <c r="W25">
        <f t="shared" si="10"/>
        <v>0</v>
      </c>
      <c r="X25">
        <f t="shared" si="11"/>
        <v>0</v>
      </c>
      <c r="Y25">
        <f t="shared" si="12"/>
        <v>0</v>
      </c>
      <c r="AA25">
        <v>0</v>
      </c>
      <c r="AB25">
        <f t="shared" si="13"/>
        <v>103</v>
      </c>
      <c r="AC25">
        <f aca="true" t="shared" si="24" ref="AC25:AJ25">AL25</f>
        <v>103</v>
      </c>
      <c r="AD25">
        <f t="shared" si="24"/>
        <v>0</v>
      </c>
      <c r="AE25">
        <f t="shared" si="24"/>
        <v>0</v>
      </c>
      <c r="AF25">
        <f t="shared" si="24"/>
        <v>0</v>
      </c>
      <c r="AG25">
        <f t="shared" si="24"/>
        <v>0</v>
      </c>
      <c r="AH25">
        <f t="shared" si="24"/>
        <v>0</v>
      </c>
      <c r="AI25">
        <f t="shared" si="24"/>
        <v>0</v>
      </c>
      <c r="AJ25">
        <f t="shared" si="24"/>
        <v>0</v>
      </c>
      <c r="AK25">
        <v>103</v>
      </c>
      <c r="AL25">
        <v>103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4.94</v>
      </c>
      <c r="BB25">
        <v>4.94</v>
      </c>
      <c r="BC25">
        <v>4.94</v>
      </c>
      <c r="BH25">
        <v>3</v>
      </c>
      <c r="BI25">
        <v>2</v>
      </c>
      <c r="BJ25" t="s">
        <v>562</v>
      </c>
      <c r="BM25">
        <v>500002</v>
      </c>
      <c r="BN25">
        <v>0</v>
      </c>
      <c r="BO25" t="s">
        <v>550</v>
      </c>
      <c r="BP25">
        <v>1</v>
      </c>
      <c r="BQ25">
        <v>8</v>
      </c>
      <c r="BR25">
        <v>0</v>
      </c>
      <c r="BS25">
        <v>4.94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0</v>
      </c>
      <c r="CA25">
        <v>0</v>
      </c>
      <c r="CF25">
        <v>0</v>
      </c>
      <c r="CG25">
        <v>0</v>
      </c>
      <c r="CM25">
        <v>0</v>
      </c>
      <c r="CO25">
        <v>0</v>
      </c>
      <c r="CP25">
        <f t="shared" si="14"/>
        <v>37998.78</v>
      </c>
      <c r="CQ25">
        <f t="shared" si="15"/>
        <v>508.82000000000005</v>
      </c>
      <c r="CR25">
        <f t="shared" si="16"/>
        <v>0</v>
      </c>
      <c r="CS25">
        <f t="shared" si="17"/>
        <v>0</v>
      </c>
      <c r="CT25">
        <f t="shared" si="18"/>
        <v>0</v>
      </c>
      <c r="CU25">
        <f t="shared" si="19"/>
        <v>0</v>
      </c>
      <c r="CV25">
        <f t="shared" si="20"/>
        <v>0</v>
      </c>
      <c r="CW25">
        <f t="shared" si="21"/>
        <v>0</v>
      </c>
      <c r="CX25">
        <f t="shared" si="22"/>
        <v>0</v>
      </c>
      <c r="CY25">
        <f>(0)*BX25</f>
        <v>0</v>
      </c>
      <c r="CZ25">
        <f>(0)*AX25</f>
        <v>0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1007</v>
      </c>
      <c r="DV25" t="s">
        <v>561</v>
      </c>
      <c r="DW25" t="s">
        <v>561</v>
      </c>
      <c r="DX25">
        <v>1</v>
      </c>
      <c r="EE25">
        <v>13259272</v>
      </c>
      <c r="EF25">
        <v>8</v>
      </c>
      <c r="EG25" t="s">
        <v>563</v>
      </c>
      <c r="EH25">
        <v>0</v>
      </c>
      <c r="EJ25">
        <v>2</v>
      </c>
      <c r="EK25">
        <v>500002</v>
      </c>
      <c r="EL25" t="s">
        <v>564</v>
      </c>
      <c r="EM25" t="s">
        <v>565</v>
      </c>
      <c r="EQ25">
        <v>0</v>
      </c>
      <c r="ER25">
        <v>103</v>
      </c>
      <c r="ES25">
        <v>103</v>
      </c>
      <c r="ET25">
        <v>0</v>
      </c>
      <c r="EU25">
        <v>0</v>
      </c>
      <c r="EV25">
        <v>0</v>
      </c>
      <c r="EW25">
        <v>0</v>
      </c>
      <c r="EX25">
        <v>0</v>
      </c>
      <c r="EZ25">
        <v>0</v>
      </c>
      <c r="FQ25">
        <v>0</v>
      </c>
      <c r="FR25">
        <f t="shared" si="23"/>
        <v>0</v>
      </c>
      <c r="FS25">
        <v>0</v>
      </c>
      <c r="FX25">
        <v>0</v>
      </c>
      <c r="FY25">
        <v>0</v>
      </c>
    </row>
    <row r="26" spans="1:181" ht="12.75">
      <c r="A26">
        <v>17</v>
      </c>
      <c r="B26">
        <v>1</v>
      </c>
      <c r="C26">
        <f>ROW(SmtRes!A18)</f>
        <v>18</v>
      </c>
      <c r="D26">
        <f>ROW(EtalonRes!A17)</f>
        <v>17</v>
      </c>
      <c r="E26" t="s">
        <v>566</v>
      </c>
      <c r="F26" t="s">
        <v>567</v>
      </c>
      <c r="G26" t="s">
        <v>568</v>
      </c>
      <c r="H26" t="s">
        <v>569</v>
      </c>
      <c r="I26">
        <f>ROUND(359.3*0.1167*0.41/101,4)</f>
        <v>0.1702</v>
      </c>
      <c r="J26">
        <v>0</v>
      </c>
      <c r="O26">
        <f t="shared" si="2"/>
        <v>42414.85</v>
      </c>
      <c r="P26">
        <f t="shared" si="3"/>
        <v>39066.32</v>
      </c>
      <c r="Q26">
        <f t="shared" si="4"/>
        <v>3102.43</v>
      </c>
      <c r="R26">
        <f t="shared" si="5"/>
        <v>346.67</v>
      </c>
      <c r="S26">
        <f t="shared" si="6"/>
        <v>246.1</v>
      </c>
      <c r="T26">
        <f t="shared" si="7"/>
        <v>0</v>
      </c>
      <c r="U26">
        <f t="shared" si="8"/>
        <v>5.104297999999999</v>
      </c>
      <c r="V26">
        <f t="shared" si="9"/>
        <v>5.088979999999999</v>
      </c>
      <c r="W26">
        <f t="shared" si="10"/>
        <v>0</v>
      </c>
      <c r="X26">
        <f t="shared" si="11"/>
        <v>616.48</v>
      </c>
      <c r="Y26">
        <f t="shared" si="12"/>
        <v>355.66</v>
      </c>
      <c r="AA26">
        <v>0</v>
      </c>
      <c r="AB26">
        <f t="shared" si="13"/>
        <v>50446.55</v>
      </c>
      <c r="AC26">
        <f>(ES26)</f>
        <v>46463.94</v>
      </c>
      <c r="AD26">
        <f>(ET26)</f>
        <v>3689.91</v>
      </c>
      <c r="AE26">
        <f>(EU26)</f>
        <v>412.32</v>
      </c>
      <c r="AF26">
        <f>(EV26)</f>
        <v>292.7</v>
      </c>
      <c r="AG26">
        <f>(AP26)</f>
        <v>0</v>
      </c>
      <c r="AH26">
        <f>(EW26)</f>
        <v>29.99</v>
      </c>
      <c r="AI26">
        <f>(EX26)</f>
        <v>29.9</v>
      </c>
      <c r="AJ26">
        <f>(AS26)</f>
        <v>0</v>
      </c>
      <c r="AK26">
        <v>50446.55</v>
      </c>
      <c r="AL26">
        <v>46463.94</v>
      </c>
      <c r="AM26">
        <v>3689.91</v>
      </c>
      <c r="AN26">
        <v>412.32</v>
      </c>
      <c r="AO26">
        <v>292.7</v>
      </c>
      <c r="AP26">
        <v>0</v>
      </c>
      <c r="AQ26">
        <v>29.99</v>
      </c>
      <c r="AR26">
        <v>29.9</v>
      </c>
      <c r="AS26">
        <v>0</v>
      </c>
      <c r="AT26">
        <v>104</v>
      </c>
      <c r="AU26">
        <v>60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4.94</v>
      </c>
      <c r="BB26">
        <v>4.94</v>
      </c>
      <c r="BC26">
        <v>4.94</v>
      </c>
      <c r="BH26">
        <v>0</v>
      </c>
      <c r="BI26">
        <v>1</v>
      </c>
      <c r="BJ26" t="s">
        <v>570</v>
      </c>
      <c r="BM26">
        <v>68001</v>
      </c>
      <c r="BN26">
        <v>0</v>
      </c>
      <c r="BO26" t="s">
        <v>571</v>
      </c>
      <c r="BP26">
        <v>1</v>
      </c>
      <c r="BQ26">
        <v>6</v>
      </c>
      <c r="BR26">
        <v>0</v>
      </c>
      <c r="BS26">
        <v>4.94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104</v>
      </c>
      <c r="CA26">
        <v>60</v>
      </c>
      <c r="CF26">
        <v>0</v>
      </c>
      <c r="CG26">
        <v>0</v>
      </c>
      <c r="CM26">
        <v>0</v>
      </c>
      <c r="CO26">
        <v>0</v>
      </c>
      <c r="CP26">
        <f t="shared" si="14"/>
        <v>42414.85</v>
      </c>
      <c r="CQ26">
        <f t="shared" si="15"/>
        <v>229531.86360000004</v>
      </c>
      <c r="CR26">
        <f t="shared" si="16"/>
        <v>18228.1554</v>
      </c>
      <c r="CS26">
        <f t="shared" si="17"/>
        <v>2036.8608000000002</v>
      </c>
      <c r="CT26">
        <f t="shared" si="18"/>
        <v>1445.938</v>
      </c>
      <c r="CU26">
        <f t="shared" si="19"/>
        <v>0</v>
      </c>
      <c r="CV26">
        <f t="shared" si="20"/>
        <v>29.99</v>
      </c>
      <c r="CW26">
        <f t="shared" si="21"/>
        <v>29.9</v>
      </c>
      <c r="CX26">
        <f t="shared" si="22"/>
        <v>0</v>
      </c>
      <c r="CY26">
        <f>(((S26+R26)*FX26)/100)</f>
        <v>616.4808</v>
      </c>
      <c r="CZ26">
        <f>(((S26+R26)*FY26)/100)</f>
        <v>355.662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1009</v>
      </c>
      <c r="DV26" t="s">
        <v>569</v>
      </c>
      <c r="DW26" t="s">
        <v>572</v>
      </c>
      <c r="DX26">
        <v>100000</v>
      </c>
      <c r="EE26">
        <v>13259465</v>
      </c>
      <c r="EF26">
        <v>6</v>
      </c>
      <c r="EG26" t="s">
        <v>573</v>
      </c>
      <c r="EH26">
        <v>0</v>
      </c>
      <c r="EJ26">
        <v>1</v>
      </c>
      <c r="EK26">
        <v>68001</v>
      </c>
      <c r="EL26" t="s">
        <v>574</v>
      </c>
      <c r="EM26" t="s">
        <v>575</v>
      </c>
      <c r="EQ26">
        <v>0</v>
      </c>
      <c r="ER26">
        <v>50446.55</v>
      </c>
      <c r="ES26">
        <v>46463.94</v>
      </c>
      <c r="ET26">
        <v>3689.91</v>
      </c>
      <c r="EU26">
        <v>412.32</v>
      </c>
      <c r="EV26">
        <v>292.7</v>
      </c>
      <c r="EW26">
        <v>29.99</v>
      </c>
      <c r="EX26">
        <v>29.9</v>
      </c>
      <c r="EY26">
        <v>0</v>
      </c>
      <c r="EZ26">
        <v>0</v>
      </c>
      <c r="FQ26">
        <v>0</v>
      </c>
      <c r="FR26">
        <f t="shared" si="23"/>
        <v>0</v>
      </c>
      <c r="FS26">
        <v>0</v>
      </c>
      <c r="FX26">
        <v>104</v>
      </c>
      <c r="FY26">
        <v>60</v>
      </c>
    </row>
    <row r="27" spans="1:181" ht="12.75">
      <c r="A27">
        <v>18</v>
      </c>
      <c r="B27">
        <v>1</v>
      </c>
      <c r="C27">
        <v>18</v>
      </c>
      <c r="E27" t="s">
        <v>576</v>
      </c>
      <c r="F27" t="s">
        <v>577</v>
      </c>
      <c r="G27" t="s">
        <v>0</v>
      </c>
      <c r="H27" t="s">
        <v>1</v>
      </c>
      <c r="I27">
        <f>I26*J27</f>
        <v>-17.190199999999997</v>
      </c>
      <c r="J27">
        <v>-101</v>
      </c>
      <c r="O27">
        <f t="shared" si="2"/>
        <v>-39055.37</v>
      </c>
      <c r="P27">
        <f t="shared" si="3"/>
        <v>-39055.37</v>
      </c>
      <c r="Q27">
        <f t="shared" si="4"/>
        <v>0</v>
      </c>
      <c r="R27">
        <f t="shared" si="5"/>
        <v>0</v>
      </c>
      <c r="S27">
        <f t="shared" si="6"/>
        <v>0</v>
      </c>
      <c r="T27">
        <f t="shared" si="7"/>
        <v>0</v>
      </c>
      <c r="U27">
        <f t="shared" si="8"/>
        <v>0</v>
      </c>
      <c r="V27">
        <f t="shared" si="9"/>
        <v>0</v>
      </c>
      <c r="W27">
        <f t="shared" si="10"/>
        <v>0</v>
      </c>
      <c r="X27">
        <f t="shared" si="11"/>
        <v>0</v>
      </c>
      <c r="Y27">
        <f t="shared" si="12"/>
        <v>0</v>
      </c>
      <c r="AA27">
        <v>0</v>
      </c>
      <c r="AB27">
        <f t="shared" si="13"/>
        <v>459.91</v>
      </c>
      <c r="AC27">
        <f aca="true" t="shared" si="25" ref="AC27:AJ28">AL27</f>
        <v>459.91</v>
      </c>
      <c r="AD27">
        <f t="shared" si="25"/>
        <v>0</v>
      </c>
      <c r="AE27">
        <f t="shared" si="25"/>
        <v>0</v>
      </c>
      <c r="AF27">
        <f t="shared" si="25"/>
        <v>0</v>
      </c>
      <c r="AG27">
        <f t="shared" si="25"/>
        <v>0</v>
      </c>
      <c r="AH27">
        <f t="shared" si="25"/>
        <v>0</v>
      </c>
      <c r="AI27">
        <f t="shared" si="25"/>
        <v>0</v>
      </c>
      <c r="AJ27">
        <f t="shared" si="25"/>
        <v>0</v>
      </c>
      <c r="AK27">
        <v>459.91</v>
      </c>
      <c r="AL27">
        <v>459.91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4.94</v>
      </c>
      <c r="BB27">
        <v>4.94</v>
      </c>
      <c r="BC27">
        <v>4.94</v>
      </c>
      <c r="BH27">
        <v>3</v>
      </c>
      <c r="BI27">
        <v>1</v>
      </c>
      <c r="BJ27" t="s">
        <v>2</v>
      </c>
      <c r="BM27">
        <v>500002</v>
      </c>
      <c r="BN27">
        <v>0</v>
      </c>
      <c r="BO27" t="s">
        <v>571</v>
      </c>
      <c r="BP27">
        <v>1</v>
      </c>
      <c r="BQ27">
        <v>8</v>
      </c>
      <c r="BR27">
        <v>0</v>
      </c>
      <c r="BS27">
        <v>4.94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0</v>
      </c>
      <c r="CA27">
        <v>0</v>
      </c>
      <c r="CF27">
        <v>0</v>
      </c>
      <c r="CG27">
        <v>0</v>
      </c>
      <c r="CM27">
        <v>0</v>
      </c>
      <c r="CO27">
        <v>0</v>
      </c>
      <c r="CP27">
        <f t="shared" si="14"/>
        <v>-39055.37</v>
      </c>
      <c r="CQ27">
        <f t="shared" si="15"/>
        <v>2271.9554000000003</v>
      </c>
      <c r="CR27">
        <f t="shared" si="16"/>
        <v>0</v>
      </c>
      <c r="CS27">
        <f t="shared" si="17"/>
        <v>0</v>
      </c>
      <c r="CT27">
        <f t="shared" si="18"/>
        <v>0</v>
      </c>
      <c r="CU27">
        <f t="shared" si="19"/>
        <v>0</v>
      </c>
      <c r="CV27">
        <f t="shared" si="20"/>
        <v>0</v>
      </c>
      <c r="CW27">
        <f t="shared" si="21"/>
        <v>0</v>
      </c>
      <c r="CX27">
        <f t="shared" si="22"/>
        <v>0</v>
      </c>
      <c r="CY27">
        <f>(((S27+R27)*FX27)/100)</f>
        <v>0</v>
      </c>
      <c r="CZ27">
        <f>(((S27+R27)*FY27)/100)</f>
        <v>0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1009</v>
      </c>
      <c r="DV27" t="s">
        <v>1</v>
      </c>
      <c r="DW27" t="s">
        <v>1</v>
      </c>
      <c r="DX27">
        <v>1000</v>
      </c>
      <c r="EE27">
        <v>13259272</v>
      </c>
      <c r="EF27">
        <v>8</v>
      </c>
      <c r="EG27" t="s">
        <v>563</v>
      </c>
      <c r="EH27">
        <v>0</v>
      </c>
      <c r="EJ27">
        <v>2</v>
      </c>
      <c r="EK27">
        <v>500002</v>
      </c>
      <c r="EL27" t="s">
        <v>564</v>
      </c>
      <c r="EM27" t="s">
        <v>565</v>
      </c>
      <c r="EQ27">
        <v>0</v>
      </c>
      <c r="ER27">
        <v>459.91</v>
      </c>
      <c r="ES27">
        <v>459.91</v>
      </c>
      <c r="ET27">
        <v>0</v>
      </c>
      <c r="EU27">
        <v>0</v>
      </c>
      <c r="EV27">
        <v>0</v>
      </c>
      <c r="EW27">
        <v>0</v>
      </c>
      <c r="EX27">
        <v>0</v>
      </c>
      <c r="EZ27">
        <v>0</v>
      </c>
      <c r="FQ27">
        <v>0</v>
      </c>
      <c r="FR27">
        <f t="shared" si="23"/>
        <v>0</v>
      </c>
      <c r="FS27">
        <v>0</v>
      </c>
      <c r="FX27">
        <v>0</v>
      </c>
      <c r="FY27">
        <v>0</v>
      </c>
    </row>
    <row r="28" spans="1:181" ht="12.75">
      <c r="A28">
        <v>18</v>
      </c>
      <c r="B28">
        <v>1</v>
      </c>
      <c r="C28">
        <v>17</v>
      </c>
      <c r="E28" t="s">
        <v>3</v>
      </c>
      <c r="F28" t="s">
        <v>571</v>
      </c>
      <c r="G28" t="s">
        <v>4</v>
      </c>
      <c r="H28" t="s">
        <v>1</v>
      </c>
      <c r="I28">
        <f>I26*J28</f>
        <v>17.190199999999997</v>
      </c>
      <c r="J28">
        <v>101</v>
      </c>
      <c r="O28">
        <f t="shared" si="2"/>
        <v>48540.04</v>
      </c>
      <c r="P28">
        <f t="shared" si="3"/>
        <v>48540.04</v>
      </c>
      <c r="Q28">
        <f t="shared" si="4"/>
        <v>0</v>
      </c>
      <c r="R28">
        <f t="shared" si="5"/>
        <v>0</v>
      </c>
      <c r="S28">
        <f t="shared" si="6"/>
        <v>0</v>
      </c>
      <c r="T28">
        <f t="shared" si="7"/>
        <v>0</v>
      </c>
      <c r="U28">
        <f t="shared" si="8"/>
        <v>0</v>
      </c>
      <c r="V28">
        <f t="shared" si="9"/>
        <v>0</v>
      </c>
      <c r="W28">
        <f t="shared" si="10"/>
        <v>0</v>
      </c>
      <c r="X28">
        <f t="shared" si="11"/>
        <v>0</v>
      </c>
      <c r="Y28">
        <f t="shared" si="12"/>
        <v>0</v>
      </c>
      <c r="AA28">
        <v>0</v>
      </c>
      <c r="AB28">
        <f t="shared" si="13"/>
        <v>571.6</v>
      </c>
      <c r="AC28">
        <f t="shared" si="25"/>
        <v>571.6</v>
      </c>
      <c r="AD28">
        <f t="shared" si="25"/>
        <v>0</v>
      </c>
      <c r="AE28">
        <f t="shared" si="25"/>
        <v>0</v>
      </c>
      <c r="AF28">
        <f t="shared" si="25"/>
        <v>0</v>
      </c>
      <c r="AG28">
        <f t="shared" si="25"/>
        <v>0</v>
      </c>
      <c r="AH28">
        <f t="shared" si="25"/>
        <v>0</v>
      </c>
      <c r="AI28">
        <f t="shared" si="25"/>
        <v>0</v>
      </c>
      <c r="AJ28">
        <f t="shared" si="25"/>
        <v>0</v>
      </c>
      <c r="AK28">
        <v>571.6</v>
      </c>
      <c r="AL28">
        <v>571.6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4.94</v>
      </c>
      <c r="BB28">
        <v>4.94</v>
      </c>
      <c r="BC28">
        <v>4.94</v>
      </c>
      <c r="BH28">
        <v>3</v>
      </c>
      <c r="BI28">
        <v>1</v>
      </c>
      <c r="BJ28" t="s">
        <v>5</v>
      </c>
      <c r="BM28">
        <v>500002</v>
      </c>
      <c r="BN28">
        <v>0</v>
      </c>
      <c r="BO28" t="s">
        <v>571</v>
      </c>
      <c r="BP28">
        <v>1</v>
      </c>
      <c r="BQ28">
        <v>8</v>
      </c>
      <c r="BR28">
        <v>0</v>
      </c>
      <c r="BS28">
        <v>4.94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0</v>
      </c>
      <c r="CA28">
        <v>0</v>
      </c>
      <c r="CF28">
        <v>0</v>
      </c>
      <c r="CG28">
        <v>0</v>
      </c>
      <c r="CM28">
        <v>0</v>
      </c>
      <c r="CO28">
        <v>0</v>
      </c>
      <c r="CP28">
        <f t="shared" si="14"/>
        <v>48540.04</v>
      </c>
      <c r="CQ28">
        <f t="shared" si="15"/>
        <v>2823.704</v>
      </c>
      <c r="CR28">
        <f t="shared" si="16"/>
        <v>0</v>
      </c>
      <c r="CS28">
        <f t="shared" si="17"/>
        <v>0</v>
      </c>
      <c r="CT28">
        <f t="shared" si="18"/>
        <v>0</v>
      </c>
      <c r="CU28">
        <f t="shared" si="19"/>
        <v>0</v>
      </c>
      <c r="CV28">
        <f t="shared" si="20"/>
        <v>0</v>
      </c>
      <c r="CW28">
        <f t="shared" si="21"/>
        <v>0</v>
      </c>
      <c r="CX28">
        <f t="shared" si="22"/>
        <v>0</v>
      </c>
      <c r="CY28">
        <f>(((S28+R28)*FX28)/100)</f>
        <v>0</v>
      </c>
      <c r="CZ28">
        <f>(((S28+R28)*FY28)/100)</f>
        <v>0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1009</v>
      </c>
      <c r="DV28" t="s">
        <v>1</v>
      </c>
      <c r="DW28" t="s">
        <v>1</v>
      </c>
      <c r="DX28">
        <v>1000</v>
      </c>
      <c r="EE28">
        <v>13259272</v>
      </c>
      <c r="EF28">
        <v>8</v>
      </c>
      <c r="EG28" t="s">
        <v>563</v>
      </c>
      <c r="EH28">
        <v>0</v>
      </c>
      <c r="EJ28">
        <v>2</v>
      </c>
      <c r="EK28">
        <v>500002</v>
      </c>
      <c r="EL28" t="s">
        <v>564</v>
      </c>
      <c r="EM28" t="s">
        <v>565</v>
      </c>
      <c r="EQ28">
        <v>0</v>
      </c>
      <c r="ER28">
        <v>571.6</v>
      </c>
      <c r="ES28">
        <v>571.6</v>
      </c>
      <c r="ET28">
        <v>0</v>
      </c>
      <c r="EU28">
        <v>0</v>
      </c>
      <c r="EV28">
        <v>0</v>
      </c>
      <c r="EW28">
        <v>0</v>
      </c>
      <c r="EX28">
        <v>0</v>
      </c>
      <c r="EZ28">
        <v>0</v>
      </c>
      <c r="FQ28">
        <v>0</v>
      </c>
      <c r="FR28">
        <f t="shared" si="23"/>
        <v>0</v>
      </c>
      <c r="FS28">
        <v>0</v>
      </c>
      <c r="FX28">
        <v>0</v>
      </c>
      <c r="FY28">
        <v>0</v>
      </c>
    </row>
    <row r="29" spans="1:181" ht="12.75">
      <c r="A29">
        <v>17</v>
      </c>
      <c r="B29">
        <v>1</v>
      </c>
      <c r="C29">
        <f>ROW(SmtRes!A22)</f>
        <v>22</v>
      </c>
      <c r="D29">
        <f>ROW(EtalonRes!A20)</f>
        <v>20</v>
      </c>
      <c r="E29" t="s">
        <v>6</v>
      </c>
      <c r="F29" t="s">
        <v>7</v>
      </c>
      <c r="G29" t="s">
        <v>8</v>
      </c>
      <c r="H29" t="s">
        <v>1</v>
      </c>
      <c r="I29">
        <f>ROUND((359.3+340)*0.0004,4)</f>
        <v>0.2797</v>
      </c>
      <c r="J29">
        <v>0</v>
      </c>
      <c r="O29">
        <f t="shared" si="2"/>
        <v>2185.51</v>
      </c>
      <c r="P29">
        <f t="shared" si="3"/>
        <v>2117.11</v>
      </c>
      <c r="Q29">
        <f t="shared" si="4"/>
        <v>68.4</v>
      </c>
      <c r="R29">
        <f t="shared" si="5"/>
        <v>13.23</v>
      </c>
      <c r="S29">
        <f t="shared" si="6"/>
        <v>0</v>
      </c>
      <c r="T29">
        <f t="shared" si="7"/>
        <v>0</v>
      </c>
      <c r="U29">
        <f t="shared" si="8"/>
        <v>0</v>
      </c>
      <c r="V29">
        <f t="shared" si="9"/>
        <v>0.23075250000000003</v>
      </c>
      <c r="W29">
        <f t="shared" si="10"/>
        <v>0</v>
      </c>
      <c r="X29">
        <f t="shared" si="11"/>
        <v>18.79</v>
      </c>
      <c r="Y29">
        <f t="shared" si="12"/>
        <v>10.72</v>
      </c>
      <c r="AA29">
        <v>0</v>
      </c>
      <c r="AB29">
        <f t="shared" si="13"/>
        <v>1581.73</v>
      </c>
      <c r="AC29">
        <f>(ES29)</f>
        <v>1532.23</v>
      </c>
      <c r="AD29">
        <f>((ET29*1.25))</f>
        <v>49.5</v>
      </c>
      <c r="AE29">
        <f>((EU29*1.25))</f>
        <v>9.575</v>
      </c>
      <c r="AF29">
        <f>((EV29*1.15))</f>
        <v>0</v>
      </c>
      <c r="AG29">
        <f>(AP29)</f>
        <v>0</v>
      </c>
      <c r="AH29">
        <f>((EW29*1.15))</f>
        <v>0</v>
      </c>
      <c r="AI29">
        <f>((EX29*1.25))</f>
        <v>0.8250000000000001</v>
      </c>
      <c r="AJ29">
        <f>(AS29)</f>
        <v>0</v>
      </c>
      <c r="AK29">
        <v>1571.83</v>
      </c>
      <c r="AL29">
        <v>1532.23</v>
      </c>
      <c r="AM29">
        <v>39.6</v>
      </c>
      <c r="AN29">
        <v>7.66</v>
      </c>
      <c r="AO29">
        <v>0</v>
      </c>
      <c r="AP29">
        <v>0</v>
      </c>
      <c r="AQ29">
        <v>0</v>
      </c>
      <c r="AR29">
        <v>0.66</v>
      </c>
      <c r="AS29">
        <v>0</v>
      </c>
      <c r="AT29">
        <v>142</v>
      </c>
      <c r="AU29">
        <v>81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4.94</v>
      </c>
      <c r="BB29">
        <v>4.94</v>
      </c>
      <c r="BC29">
        <v>4.94</v>
      </c>
      <c r="BH29">
        <v>0</v>
      </c>
      <c r="BI29">
        <v>1</v>
      </c>
      <c r="BJ29" t="s">
        <v>9</v>
      </c>
      <c r="BM29">
        <v>27001</v>
      </c>
      <c r="BN29">
        <v>0</v>
      </c>
      <c r="BO29" t="s">
        <v>550</v>
      </c>
      <c r="BP29">
        <v>1</v>
      </c>
      <c r="BQ29">
        <v>2</v>
      </c>
      <c r="BR29">
        <v>0</v>
      </c>
      <c r="BS29">
        <v>4.94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142</v>
      </c>
      <c r="CA29">
        <v>95</v>
      </c>
      <c r="CF29">
        <v>0</v>
      </c>
      <c r="CG29">
        <v>0</v>
      </c>
      <c r="CM29">
        <v>0</v>
      </c>
      <c r="CO29">
        <v>0</v>
      </c>
      <c r="CP29">
        <f t="shared" si="14"/>
        <v>2185.51</v>
      </c>
      <c r="CQ29">
        <f t="shared" si="15"/>
        <v>7569.216200000001</v>
      </c>
      <c r="CR29">
        <f t="shared" si="16"/>
        <v>244.53000000000003</v>
      </c>
      <c r="CS29">
        <f t="shared" si="17"/>
        <v>47.3005</v>
      </c>
      <c r="CT29">
        <f t="shared" si="18"/>
        <v>0</v>
      </c>
      <c r="CU29">
        <f t="shared" si="19"/>
        <v>0</v>
      </c>
      <c r="CV29">
        <f t="shared" si="20"/>
        <v>0</v>
      </c>
      <c r="CW29">
        <f t="shared" si="21"/>
        <v>0.8250000000000001</v>
      </c>
      <c r="CX29">
        <f t="shared" si="22"/>
        <v>0</v>
      </c>
      <c r="CY29">
        <f>((S29+R29)*(ROUND((FX29*IF((0=1),0.94,1)*IF((0=1),1,1)),0)/100))</f>
        <v>18.7866</v>
      </c>
      <c r="CZ29">
        <f>((S29+R29)*(ROUND((FY29*0.85),0)/100))</f>
        <v>10.7163</v>
      </c>
      <c r="DE29" t="s">
        <v>551</v>
      </c>
      <c r="DF29" t="s">
        <v>551</v>
      </c>
      <c r="DG29" t="s">
        <v>552</v>
      </c>
      <c r="DI29" t="s">
        <v>552</v>
      </c>
      <c r="DJ29" t="s">
        <v>551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1009</v>
      </c>
      <c r="DV29" t="s">
        <v>1</v>
      </c>
      <c r="DW29" t="s">
        <v>10</v>
      </c>
      <c r="DX29">
        <v>1000</v>
      </c>
      <c r="EE29">
        <v>13259380</v>
      </c>
      <c r="EF29">
        <v>2</v>
      </c>
      <c r="EG29" t="s">
        <v>554</v>
      </c>
      <c r="EH29">
        <v>0</v>
      </c>
      <c r="EJ29">
        <v>1</v>
      </c>
      <c r="EK29">
        <v>27001</v>
      </c>
      <c r="EL29" t="s">
        <v>555</v>
      </c>
      <c r="EM29" t="s">
        <v>556</v>
      </c>
      <c r="EQ29">
        <v>0</v>
      </c>
      <c r="ER29">
        <v>1571.83</v>
      </c>
      <c r="ES29">
        <v>1532.23</v>
      </c>
      <c r="ET29">
        <v>39.6</v>
      </c>
      <c r="EU29">
        <v>7.66</v>
      </c>
      <c r="EV29">
        <v>0</v>
      </c>
      <c r="EW29">
        <v>0</v>
      </c>
      <c r="EX29">
        <v>0.66</v>
      </c>
      <c r="EY29">
        <v>0</v>
      </c>
      <c r="EZ29">
        <v>0</v>
      </c>
      <c r="FQ29">
        <v>0</v>
      </c>
      <c r="FR29">
        <f t="shared" si="23"/>
        <v>0</v>
      </c>
      <c r="FS29">
        <v>0</v>
      </c>
      <c r="FW29" t="s">
        <v>557</v>
      </c>
      <c r="FX29">
        <v>142</v>
      </c>
      <c r="FY29">
        <v>95</v>
      </c>
    </row>
    <row r="30" spans="1:181" ht="12.75">
      <c r="A30">
        <v>18</v>
      </c>
      <c r="B30">
        <v>1</v>
      </c>
      <c r="C30">
        <v>22</v>
      </c>
      <c r="E30" t="s">
        <v>11</v>
      </c>
      <c r="F30" t="s">
        <v>12</v>
      </c>
      <c r="G30" t="s">
        <v>13</v>
      </c>
      <c r="H30" t="s">
        <v>1</v>
      </c>
      <c r="I30">
        <f>I29*J30</f>
        <v>-0.288091</v>
      </c>
      <c r="J30">
        <v>-1.03</v>
      </c>
      <c r="O30">
        <f t="shared" si="2"/>
        <v>-2117.11</v>
      </c>
      <c r="P30">
        <f t="shared" si="3"/>
        <v>-2117.11</v>
      </c>
      <c r="Q30">
        <f t="shared" si="4"/>
        <v>0</v>
      </c>
      <c r="R30">
        <f t="shared" si="5"/>
        <v>0</v>
      </c>
      <c r="S30">
        <f t="shared" si="6"/>
        <v>0</v>
      </c>
      <c r="T30">
        <f t="shared" si="7"/>
        <v>0</v>
      </c>
      <c r="U30">
        <f t="shared" si="8"/>
        <v>0</v>
      </c>
      <c r="V30">
        <f t="shared" si="9"/>
        <v>0</v>
      </c>
      <c r="W30">
        <f t="shared" si="10"/>
        <v>0</v>
      </c>
      <c r="X30">
        <f t="shared" si="11"/>
        <v>0</v>
      </c>
      <c r="Y30">
        <f t="shared" si="12"/>
        <v>0</v>
      </c>
      <c r="AA30">
        <v>0</v>
      </c>
      <c r="AB30">
        <f t="shared" si="13"/>
        <v>1487.6</v>
      </c>
      <c r="AC30">
        <f aca="true" t="shared" si="26" ref="AC30:AJ31">AL30</f>
        <v>1487.6</v>
      </c>
      <c r="AD30">
        <f t="shared" si="26"/>
        <v>0</v>
      </c>
      <c r="AE30">
        <f t="shared" si="26"/>
        <v>0</v>
      </c>
      <c r="AF30">
        <f t="shared" si="26"/>
        <v>0</v>
      </c>
      <c r="AG30">
        <f t="shared" si="26"/>
        <v>0</v>
      </c>
      <c r="AH30">
        <f t="shared" si="26"/>
        <v>0</v>
      </c>
      <c r="AI30">
        <f t="shared" si="26"/>
        <v>0</v>
      </c>
      <c r="AJ30">
        <f t="shared" si="26"/>
        <v>0</v>
      </c>
      <c r="AK30">
        <v>1487.6</v>
      </c>
      <c r="AL30">
        <v>1487.6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4.94</v>
      </c>
      <c r="BB30">
        <v>4.94</v>
      </c>
      <c r="BC30">
        <v>4.94</v>
      </c>
      <c r="BH30">
        <v>3</v>
      </c>
      <c r="BI30">
        <v>1</v>
      </c>
      <c r="BJ30" t="s">
        <v>14</v>
      </c>
      <c r="BM30">
        <v>500001</v>
      </c>
      <c r="BN30">
        <v>0</v>
      </c>
      <c r="BO30" t="s">
        <v>550</v>
      </c>
      <c r="BP30">
        <v>1</v>
      </c>
      <c r="BQ30">
        <v>8</v>
      </c>
      <c r="BR30">
        <v>0</v>
      </c>
      <c r="BS30">
        <v>4.94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0</v>
      </c>
      <c r="CA30">
        <v>0</v>
      </c>
      <c r="CF30">
        <v>0</v>
      </c>
      <c r="CG30">
        <v>0</v>
      </c>
      <c r="CM30">
        <v>0</v>
      </c>
      <c r="CO30">
        <v>0</v>
      </c>
      <c r="CP30">
        <f t="shared" si="14"/>
        <v>-2117.11</v>
      </c>
      <c r="CQ30">
        <f t="shared" si="15"/>
        <v>7348.744</v>
      </c>
      <c r="CR30">
        <f t="shared" si="16"/>
        <v>0</v>
      </c>
      <c r="CS30">
        <f t="shared" si="17"/>
        <v>0</v>
      </c>
      <c r="CT30">
        <f t="shared" si="18"/>
        <v>0</v>
      </c>
      <c r="CU30">
        <f t="shared" si="19"/>
        <v>0</v>
      </c>
      <c r="CV30">
        <f t="shared" si="20"/>
        <v>0</v>
      </c>
      <c r="CW30">
        <f t="shared" si="21"/>
        <v>0</v>
      </c>
      <c r="CX30">
        <f t="shared" si="22"/>
        <v>0</v>
      </c>
      <c r="CY30">
        <f>(0)*BX30</f>
        <v>0</v>
      </c>
      <c r="CZ30">
        <f>(0)*AX30</f>
        <v>0</v>
      </c>
      <c r="DM30" t="s">
        <v>15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1009</v>
      </c>
      <c r="DV30" t="s">
        <v>1</v>
      </c>
      <c r="DW30" t="s">
        <v>1</v>
      </c>
      <c r="DX30">
        <v>1000</v>
      </c>
      <c r="EE30">
        <v>13259271</v>
      </c>
      <c r="EF30">
        <v>8</v>
      </c>
      <c r="EG30" t="s">
        <v>563</v>
      </c>
      <c r="EH30">
        <v>0</v>
      </c>
      <c r="EJ30">
        <v>1</v>
      </c>
      <c r="EK30">
        <v>500001</v>
      </c>
      <c r="EL30" t="s">
        <v>16</v>
      </c>
      <c r="EM30" t="s">
        <v>565</v>
      </c>
      <c r="EQ30">
        <v>0</v>
      </c>
      <c r="ER30">
        <v>1487.6</v>
      </c>
      <c r="ES30">
        <v>1487.6</v>
      </c>
      <c r="ET30">
        <v>0</v>
      </c>
      <c r="EU30">
        <v>0</v>
      </c>
      <c r="EV30">
        <v>0</v>
      </c>
      <c r="EW30">
        <v>0</v>
      </c>
      <c r="EX30">
        <v>0</v>
      </c>
      <c r="EZ30">
        <v>0</v>
      </c>
      <c r="FQ30">
        <v>0</v>
      </c>
      <c r="FR30">
        <f t="shared" si="23"/>
        <v>0</v>
      </c>
      <c r="FS30">
        <v>0</v>
      </c>
      <c r="FX30">
        <v>0</v>
      </c>
      <c r="FY30">
        <v>0</v>
      </c>
    </row>
    <row r="31" spans="1:181" ht="12.75">
      <c r="A31">
        <v>18</v>
      </c>
      <c r="B31">
        <v>1</v>
      </c>
      <c r="C31">
        <v>21</v>
      </c>
      <c r="E31" t="s">
        <v>17</v>
      </c>
      <c r="F31" t="s">
        <v>18</v>
      </c>
      <c r="G31" t="s">
        <v>19</v>
      </c>
      <c r="H31" t="s">
        <v>1</v>
      </c>
      <c r="I31">
        <f>I29*J31</f>
        <v>0.288091</v>
      </c>
      <c r="J31">
        <v>1.03</v>
      </c>
      <c r="O31">
        <f t="shared" si="2"/>
        <v>3091.81</v>
      </c>
      <c r="P31">
        <f t="shared" si="3"/>
        <v>3091.81</v>
      </c>
      <c r="Q31">
        <f t="shared" si="4"/>
        <v>0</v>
      </c>
      <c r="R31">
        <f t="shared" si="5"/>
        <v>0</v>
      </c>
      <c r="S31">
        <f t="shared" si="6"/>
        <v>0</v>
      </c>
      <c r="T31">
        <f t="shared" si="7"/>
        <v>0</v>
      </c>
      <c r="U31">
        <f t="shared" si="8"/>
        <v>0</v>
      </c>
      <c r="V31">
        <f t="shared" si="9"/>
        <v>0</v>
      </c>
      <c r="W31">
        <f t="shared" si="10"/>
        <v>0</v>
      </c>
      <c r="X31">
        <f t="shared" si="11"/>
        <v>0</v>
      </c>
      <c r="Y31">
        <f t="shared" si="12"/>
        <v>0</v>
      </c>
      <c r="AA31">
        <v>0</v>
      </c>
      <c r="AB31">
        <f t="shared" si="13"/>
        <v>2172.48</v>
      </c>
      <c r="AC31">
        <f t="shared" si="26"/>
        <v>2172.48</v>
      </c>
      <c r="AD31">
        <f t="shared" si="26"/>
        <v>0</v>
      </c>
      <c r="AE31">
        <f t="shared" si="26"/>
        <v>0</v>
      </c>
      <c r="AF31">
        <f t="shared" si="26"/>
        <v>0</v>
      </c>
      <c r="AG31">
        <f t="shared" si="26"/>
        <v>0</v>
      </c>
      <c r="AH31">
        <f t="shared" si="26"/>
        <v>0</v>
      </c>
      <c r="AI31">
        <f t="shared" si="26"/>
        <v>0</v>
      </c>
      <c r="AJ31">
        <f t="shared" si="26"/>
        <v>0</v>
      </c>
      <c r="AK31">
        <v>2172.48</v>
      </c>
      <c r="AL31">
        <v>2172.48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4.94</v>
      </c>
      <c r="BB31">
        <v>4.94</v>
      </c>
      <c r="BC31">
        <v>4.94</v>
      </c>
      <c r="BH31">
        <v>3</v>
      </c>
      <c r="BI31">
        <v>1</v>
      </c>
      <c r="BJ31" t="s">
        <v>20</v>
      </c>
      <c r="BM31">
        <v>500001</v>
      </c>
      <c r="BN31">
        <v>0</v>
      </c>
      <c r="BO31" t="s">
        <v>550</v>
      </c>
      <c r="BP31">
        <v>1</v>
      </c>
      <c r="BQ31">
        <v>8</v>
      </c>
      <c r="BR31">
        <v>0</v>
      </c>
      <c r="BS31">
        <v>4.94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0</v>
      </c>
      <c r="CA31">
        <v>0</v>
      </c>
      <c r="CF31">
        <v>0</v>
      </c>
      <c r="CG31">
        <v>0</v>
      </c>
      <c r="CM31">
        <v>0</v>
      </c>
      <c r="CO31">
        <v>0</v>
      </c>
      <c r="CP31">
        <f t="shared" si="14"/>
        <v>3091.81</v>
      </c>
      <c r="CQ31">
        <f t="shared" si="15"/>
        <v>10732.051200000002</v>
      </c>
      <c r="CR31">
        <f t="shared" si="16"/>
        <v>0</v>
      </c>
      <c r="CS31">
        <f t="shared" si="17"/>
        <v>0</v>
      </c>
      <c r="CT31">
        <f t="shared" si="18"/>
        <v>0</v>
      </c>
      <c r="CU31">
        <f t="shared" si="19"/>
        <v>0</v>
      </c>
      <c r="CV31">
        <f t="shared" si="20"/>
        <v>0</v>
      </c>
      <c r="CW31">
        <f t="shared" si="21"/>
        <v>0</v>
      </c>
      <c r="CX31">
        <f t="shared" si="22"/>
        <v>0</v>
      </c>
      <c r="CY31">
        <f>(0)*BX31</f>
        <v>0</v>
      </c>
      <c r="CZ31">
        <f>(0)*AX31</f>
        <v>0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1009</v>
      </c>
      <c r="DV31" t="s">
        <v>1</v>
      </c>
      <c r="DW31" t="s">
        <v>1</v>
      </c>
      <c r="DX31">
        <v>1000</v>
      </c>
      <c r="EE31">
        <v>13259271</v>
      </c>
      <c r="EF31">
        <v>8</v>
      </c>
      <c r="EG31" t="s">
        <v>563</v>
      </c>
      <c r="EH31">
        <v>0</v>
      </c>
      <c r="EJ31">
        <v>1</v>
      </c>
      <c r="EK31">
        <v>500001</v>
      </c>
      <c r="EL31" t="s">
        <v>16</v>
      </c>
      <c r="EM31" t="s">
        <v>565</v>
      </c>
      <c r="EQ31">
        <v>0</v>
      </c>
      <c r="ER31">
        <v>2172.48</v>
      </c>
      <c r="ES31">
        <v>2172.48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0</v>
      </c>
      <c r="FQ31">
        <v>0</v>
      </c>
      <c r="FR31">
        <f t="shared" si="23"/>
        <v>0</v>
      </c>
      <c r="FS31">
        <v>0</v>
      </c>
      <c r="FX31">
        <v>0</v>
      </c>
      <c r="FY31">
        <v>0</v>
      </c>
    </row>
    <row r="32" spans="1:181" ht="12.75">
      <c r="A32">
        <v>17</v>
      </c>
      <c r="B32">
        <v>1</v>
      </c>
      <c r="C32">
        <f>ROW(SmtRes!A35)</f>
        <v>35</v>
      </c>
      <c r="D32">
        <f>ROW(EtalonRes!A33)</f>
        <v>33</v>
      </c>
      <c r="E32" t="s">
        <v>21</v>
      </c>
      <c r="F32" t="s">
        <v>22</v>
      </c>
      <c r="G32" t="s">
        <v>23</v>
      </c>
      <c r="H32" t="s">
        <v>24</v>
      </c>
      <c r="I32">
        <f>359.3/1000</f>
        <v>0.3593</v>
      </c>
      <c r="J32">
        <v>0</v>
      </c>
      <c r="O32">
        <f t="shared" si="2"/>
        <v>101145.42</v>
      </c>
      <c r="P32">
        <f t="shared" si="3"/>
        <v>95099.1</v>
      </c>
      <c r="Q32">
        <f t="shared" si="4"/>
        <v>5294.25</v>
      </c>
      <c r="R32">
        <f t="shared" si="5"/>
        <v>582.49</v>
      </c>
      <c r="S32">
        <f t="shared" si="6"/>
        <v>752.07</v>
      </c>
      <c r="T32">
        <f t="shared" si="7"/>
        <v>0</v>
      </c>
      <c r="U32">
        <f t="shared" si="8"/>
        <v>15.825368499999998</v>
      </c>
      <c r="V32">
        <f t="shared" si="9"/>
        <v>8.569305</v>
      </c>
      <c r="W32">
        <f t="shared" si="10"/>
        <v>0</v>
      </c>
      <c r="X32">
        <f t="shared" si="11"/>
        <v>1895.08</v>
      </c>
      <c r="Y32">
        <f t="shared" si="12"/>
        <v>1080.99</v>
      </c>
      <c r="AA32">
        <v>0</v>
      </c>
      <c r="AB32">
        <f t="shared" si="13"/>
        <v>56985.2025</v>
      </c>
      <c r="AC32">
        <f>(ES32)</f>
        <v>53578.71</v>
      </c>
      <c r="AD32">
        <f>((ET32*1.25))</f>
        <v>2982.7749999999996</v>
      </c>
      <c r="AE32">
        <f>((EU32*1.25))</f>
        <v>328.175</v>
      </c>
      <c r="AF32">
        <f>((EV32*1.15))</f>
        <v>423.7175</v>
      </c>
      <c r="AG32">
        <f>(AP32)</f>
        <v>0</v>
      </c>
      <c r="AH32">
        <f>((EW32*1.15))</f>
        <v>44.044999999999995</v>
      </c>
      <c r="AI32">
        <f>((EX32*1.25))</f>
        <v>23.849999999999998</v>
      </c>
      <c r="AJ32">
        <f>(AS32)</f>
        <v>0</v>
      </c>
      <c r="AK32">
        <v>56333.38</v>
      </c>
      <c r="AL32">
        <v>53578.71</v>
      </c>
      <c r="AM32">
        <v>2386.22</v>
      </c>
      <c r="AN32">
        <v>262.54</v>
      </c>
      <c r="AO32">
        <v>368.45</v>
      </c>
      <c r="AP32">
        <v>0</v>
      </c>
      <c r="AQ32">
        <v>38.3</v>
      </c>
      <c r="AR32">
        <v>19.08</v>
      </c>
      <c r="AS32">
        <v>0</v>
      </c>
      <c r="AT32">
        <v>142</v>
      </c>
      <c r="AU32">
        <v>81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4.94</v>
      </c>
      <c r="BB32">
        <v>4.94</v>
      </c>
      <c r="BC32">
        <v>4.94</v>
      </c>
      <c r="BH32">
        <v>0</v>
      </c>
      <c r="BI32">
        <v>1</v>
      </c>
      <c r="BJ32" t="s">
        <v>25</v>
      </c>
      <c r="BM32">
        <v>27001</v>
      </c>
      <c r="BN32">
        <v>0</v>
      </c>
      <c r="BO32" t="s">
        <v>550</v>
      </c>
      <c r="BP32">
        <v>1</v>
      </c>
      <c r="BQ32">
        <v>2</v>
      </c>
      <c r="BR32">
        <v>0</v>
      </c>
      <c r="BS32">
        <v>4.94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142</v>
      </c>
      <c r="CA32">
        <v>95</v>
      </c>
      <c r="CF32">
        <v>0</v>
      </c>
      <c r="CG32">
        <v>0</v>
      </c>
      <c r="CM32">
        <v>0</v>
      </c>
      <c r="CO32">
        <v>0</v>
      </c>
      <c r="CP32">
        <f t="shared" si="14"/>
        <v>101145.42000000001</v>
      </c>
      <c r="CQ32">
        <f t="shared" si="15"/>
        <v>264678.8274</v>
      </c>
      <c r="CR32">
        <f t="shared" si="16"/>
        <v>14734.9085</v>
      </c>
      <c r="CS32">
        <f t="shared" si="17"/>
        <v>1621.1845</v>
      </c>
      <c r="CT32">
        <f t="shared" si="18"/>
        <v>2093.16445</v>
      </c>
      <c r="CU32">
        <f t="shared" si="19"/>
        <v>0</v>
      </c>
      <c r="CV32">
        <f t="shared" si="20"/>
        <v>44.044999999999995</v>
      </c>
      <c r="CW32">
        <f t="shared" si="21"/>
        <v>23.849999999999998</v>
      </c>
      <c r="CX32">
        <f t="shared" si="22"/>
        <v>0</v>
      </c>
      <c r="CY32">
        <f>((S32+R32)*(ROUND((FX32*IF((0=1),0.94,1)*IF((0=1),1,1)),0)/100))</f>
        <v>1895.0751999999998</v>
      </c>
      <c r="CZ32">
        <f>((S32+R32)*(ROUND((FY32*0.85),0)/100))</f>
        <v>1080.9936</v>
      </c>
      <c r="DE32" t="s">
        <v>551</v>
      </c>
      <c r="DF32" t="s">
        <v>551</v>
      </c>
      <c r="DG32" t="s">
        <v>552</v>
      </c>
      <c r="DI32" t="s">
        <v>552</v>
      </c>
      <c r="DJ32" t="s">
        <v>551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1005</v>
      </c>
      <c r="DV32" t="s">
        <v>24</v>
      </c>
      <c r="DW32" t="s">
        <v>26</v>
      </c>
      <c r="DX32">
        <v>1000</v>
      </c>
      <c r="EE32">
        <v>13259380</v>
      </c>
      <c r="EF32">
        <v>2</v>
      </c>
      <c r="EG32" t="s">
        <v>554</v>
      </c>
      <c r="EH32">
        <v>0</v>
      </c>
      <c r="EJ32">
        <v>1</v>
      </c>
      <c r="EK32">
        <v>27001</v>
      </c>
      <c r="EL32" t="s">
        <v>555</v>
      </c>
      <c r="EM32" t="s">
        <v>556</v>
      </c>
      <c r="EQ32">
        <v>0</v>
      </c>
      <c r="ER32">
        <v>56333.38</v>
      </c>
      <c r="ES32">
        <v>53578.71</v>
      </c>
      <c r="ET32">
        <v>2386.22</v>
      </c>
      <c r="EU32">
        <v>262.54</v>
      </c>
      <c r="EV32">
        <v>368.45</v>
      </c>
      <c r="EW32">
        <v>38.3</v>
      </c>
      <c r="EX32">
        <v>19.08</v>
      </c>
      <c r="EY32">
        <v>0</v>
      </c>
      <c r="EZ32">
        <v>0</v>
      </c>
      <c r="FQ32">
        <v>0</v>
      </c>
      <c r="FR32">
        <f t="shared" si="23"/>
        <v>0</v>
      </c>
      <c r="FS32">
        <v>0</v>
      </c>
      <c r="FW32" t="s">
        <v>557</v>
      </c>
      <c r="FX32">
        <v>142</v>
      </c>
      <c r="FY32">
        <v>95</v>
      </c>
    </row>
    <row r="33" spans="1:181" ht="12.75">
      <c r="A33">
        <v>17</v>
      </c>
      <c r="B33">
        <v>1</v>
      </c>
      <c r="C33">
        <f>ROW(SmtRes!A39)</f>
        <v>39</v>
      </c>
      <c r="D33">
        <f>ROW(EtalonRes!A37)</f>
        <v>37</v>
      </c>
      <c r="E33" t="s">
        <v>27</v>
      </c>
      <c r="F33" t="s">
        <v>28</v>
      </c>
      <c r="G33" t="s">
        <v>29</v>
      </c>
      <c r="H33" t="s">
        <v>24</v>
      </c>
      <c r="I33">
        <f>Source!I32*2</f>
        <v>0.7186</v>
      </c>
      <c r="J33">
        <v>0</v>
      </c>
      <c r="O33">
        <f t="shared" si="2"/>
        <v>23765.55</v>
      </c>
      <c r="P33">
        <f t="shared" si="3"/>
        <v>23749.04</v>
      </c>
      <c r="Q33">
        <f t="shared" si="4"/>
        <v>12.96</v>
      </c>
      <c r="R33">
        <f t="shared" si="5"/>
        <v>0</v>
      </c>
      <c r="S33">
        <f t="shared" si="6"/>
        <v>3.55</v>
      </c>
      <c r="T33">
        <f t="shared" si="7"/>
        <v>0</v>
      </c>
      <c r="U33">
        <f t="shared" si="8"/>
        <v>0.0743751</v>
      </c>
      <c r="V33">
        <f t="shared" si="9"/>
        <v>0</v>
      </c>
      <c r="W33">
        <f t="shared" si="10"/>
        <v>0</v>
      </c>
      <c r="X33">
        <f t="shared" si="11"/>
        <v>5.04</v>
      </c>
      <c r="Y33">
        <f t="shared" si="12"/>
        <v>2.88</v>
      </c>
      <c r="AA33">
        <v>0</v>
      </c>
      <c r="AB33">
        <f t="shared" si="13"/>
        <v>6694.7405</v>
      </c>
      <c r="AC33">
        <f>(ES33)</f>
        <v>6690.09</v>
      </c>
      <c r="AD33">
        <f>((ET33*1.25))</f>
        <v>3.65</v>
      </c>
      <c r="AE33">
        <f>((EU33*1.25))</f>
        <v>0</v>
      </c>
      <c r="AF33">
        <f>((EV33*1.15))</f>
        <v>1.0005</v>
      </c>
      <c r="AG33">
        <f>(AP33)</f>
        <v>0</v>
      </c>
      <c r="AH33">
        <f>((EW33*1.15))</f>
        <v>0.1035</v>
      </c>
      <c r="AI33">
        <f>((EX33*1.25))</f>
        <v>0</v>
      </c>
      <c r="AJ33">
        <f>(AS33)</f>
        <v>0</v>
      </c>
      <c r="AK33">
        <v>6693.88</v>
      </c>
      <c r="AL33">
        <v>6690.09</v>
      </c>
      <c r="AM33">
        <v>2.92</v>
      </c>
      <c r="AN33">
        <v>0</v>
      </c>
      <c r="AO33">
        <v>0.87</v>
      </c>
      <c r="AP33">
        <v>0</v>
      </c>
      <c r="AQ33">
        <v>0.09</v>
      </c>
      <c r="AR33">
        <v>0</v>
      </c>
      <c r="AS33">
        <v>0</v>
      </c>
      <c r="AT33">
        <v>142</v>
      </c>
      <c r="AU33">
        <v>81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4.94</v>
      </c>
      <c r="BB33">
        <v>4.94</v>
      </c>
      <c r="BC33">
        <v>4.94</v>
      </c>
      <c r="BH33">
        <v>0</v>
      </c>
      <c r="BI33">
        <v>1</v>
      </c>
      <c r="BJ33" t="s">
        <v>30</v>
      </c>
      <c r="BM33">
        <v>27001</v>
      </c>
      <c r="BN33">
        <v>0</v>
      </c>
      <c r="BO33" t="s">
        <v>550</v>
      </c>
      <c r="BP33">
        <v>1</v>
      </c>
      <c r="BQ33">
        <v>2</v>
      </c>
      <c r="BR33">
        <v>0</v>
      </c>
      <c r="BS33">
        <v>4.94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142</v>
      </c>
      <c r="CA33">
        <v>95</v>
      </c>
      <c r="CF33">
        <v>0</v>
      </c>
      <c r="CG33">
        <v>0</v>
      </c>
      <c r="CM33">
        <v>0</v>
      </c>
      <c r="CO33">
        <v>0</v>
      </c>
      <c r="CP33">
        <f t="shared" si="14"/>
        <v>23765.55</v>
      </c>
      <c r="CQ33">
        <f t="shared" si="15"/>
        <v>33049.0446</v>
      </c>
      <c r="CR33">
        <f t="shared" si="16"/>
        <v>18.031000000000002</v>
      </c>
      <c r="CS33">
        <f t="shared" si="17"/>
        <v>0</v>
      </c>
      <c r="CT33">
        <f t="shared" si="18"/>
        <v>4.94247</v>
      </c>
      <c r="CU33">
        <f t="shared" si="19"/>
        <v>0</v>
      </c>
      <c r="CV33">
        <f t="shared" si="20"/>
        <v>0.1035</v>
      </c>
      <c r="CW33">
        <f t="shared" si="21"/>
        <v>0</v>
      </c>
      <c r="CX33">
        <f t="shared" si="22"/>
        <v>0</v>
      </c>
      <c r="CY33">
        <f>((S33+R33)*(ROUND((FX33*IF((0=1),0.94,1)*IF((0=1),1,1)),0)/100))</f>
        <v>5.0409999999999995</v>
      </c>
      <c r="CZ33">
        <f>((S33+R33)*(ROUND((FY33*0.85),0)/100))</f>
        <v>2.8755</v>
      </c>
      <c r="DE33" t="s">
        <v>551</v>
      </c>
      <c r="DF33" t="s">
        <v>551</v>
      </c>
      <c r="DG33" t="s">
        <v>552</v>
      </c>
      <c r="DI33" t="s">
        <v>552</v>
      </c>
      <c r="DJ33" t="s">
        <v>551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1005</v>
      </c>
      <c r="DV33" t="s">
        <v>24</v>
      </c>
      <c r="DW33" t="s">
        <v>26</v>
      </c>
      <c r="DX33">
        <v>1000</v>
      </c>
      <c r="EE33">
        <v>13259380</v>
      </c>
      <c r="EF33">
        <v>2</v>
      </c>
      <c r="EG33" t="s">
        <v>554</v>
      </c>
      <c r="EH33">
        <v>0</v>
      </c>
      <c r="EJ33">
        <v>1</v>
      </c>
      <c r="EK33">
        <v>27001</v>
      </c>
      <c r="EL33" t="s">
        <v>555</v>
      </c>
      <c r="EM33" t="s">
        <v>556</v>
      </c>
      <c r="EQ33">
        <v>0</v>
      </c>
      <c r="ER33">
        <v>6693.88</v>
      </c>
      <c r="ES33">
        <v>6690.09</v>
      </c>
      <c r="ET33">
        <v>2.92</v>
      </c>
      <c r="EU33">
        <v>0</v>
      </c>
      <c r="EV33">
        <v>0.87</v>
      </c>
      <c r="EW33">
        <v>0.09</v>
      </c>
      <c r="EX33">
        <v>0</v>
      </c>
      <c r="EY33">
        <v>0</v>
      </c>
      <c r="EZ33">
        <v>0</v>
      </c>
      <c r="FQ33">
        <v>0</v>
      </c>
      <c r="FR33">
        <f t="shared" si="23"/>
        <v>0</v>
      </c>
      <c r="FS33">
        <v>0</v>
      </c>
      <c r="FW33" t="s">
        <v>557</v>
      </c>
      <c r="FX33">
        <v>142</v>
      </c>
      <c r="FY33">
        <v>95</v>
      </c>
    </row>
    <row r="34" spans="1:181" ht="12.75">
      <c r="A34">
        <v>17</v>
      </c>
      <c r="B34">
        <v>1</v>
      </c>
      <c r="C34">
        <f>ROW(SmtRes!A47)</f>
        <v>47</v>
      </c>
      <c r="D34">
        <f>ROW(EtalonRes!A44)</f>
        <v>44</v>
      </c>
      <c r="E34" t="s">
        <v>31</v>
      </c>
      <c r="F34" t="s">
        <v>32</v>
      </c>
      <c r="G34" t="s">
        <v>33</v>
      </c>
      <c r="H34" t="s">
        <v>569</v>
      </c>
      <c r="I34">
        <f>ROUND(340*0.1167*0.41/101,4)</f>
        <v>0.1611</v>
      </c>
      <c r="J34">
        <v>0</v>
      </c>
      <c r="O34">
        <f t="shared" si="2"/>
        <v>40203.42</v>
      </c>
      <c r="P34">
        <f t="shared" si="3"/>
        <v>36977.58</v>
      </c>
      <c r="Q34">
        <f t="shared" si="4"/>
        <v>2569.57</v>
      </c>
      <c r="R34">
        <f t="shared" si="5"/>
        <v>329.95</v>
      </c>
      <c r="S34">
        <f t="shared" si="6"/>
        <v>656.27</v>
      </c>
      <c r="T34">
        <f t="shared" si="7"/>
        <v>0</v>
      </c>
      <c r="U34">
        <f t="shared" si="8"/>
        <v>13.809491999999999</v>
      </c>
      <c r="V34">
        <f t="shared" si="9"/>
        <v>5.029541999999999</v>
      </c>
      <c r="W34">
        <f t="shared" si="10"/>
        <v>0</v>
      </c>
      <c r="X34">
        <f t="shared" si="11"/>
        <v>1025.67</v>
      </c>
      <c r="Y34">
        <f t="shared" si="12"/>
        <v>591.73</v>
      </c>
      <c r="AA34">
        <v>0</v>
      </c>
      <c r="AB34">
        <f t="shared" si="13"/>
        <v>50517.35</v>
      </c>
      <c r="AC34">
        <f>(ES34)</f>
        <v>46463.94</v>
      </c>
      <c r="AD34">
        <f>(ET34)</f>
        <v>3228.78</v>
      </c>
      <c r="AE34">
        <f>(EU34)</f>
        <v>414.6</v>
      </c>
      <c r="AF34">
        <f>(EV34)</f>
        <v>824.63</v>
      </c>
      <c r="AG34">
        <f>(AP34)</f>
        <v>0</v>
      </c>
      <c r="AH34">
        <f>(EW34)</f>
        <v>85.72</v>
      </c>
      <c r="AI34">
        <f>(EX34)</f>
        <v>31.22</v>
      </c>
      <c r="AJ34">
        <f>(AS34)</f>
        <v>0</v>
      </c>
      <c r="AK34">
        <v>50517.35</v>
      </c>
      <c r="AL34">
        <v>46463.94</v>
      </c>
      <c r="AM34">
        <v>3228.78</v>
      </c>
      <c r="AN34">
        <v>414.6</v>
      </c>
      <c r="AO34">
        <v>824.63</v>
      </c>
      <c r="AP34">
        <v>0</v>
      </c>
      <c r="AQ34">
        <v>85.72</v>
      </c>
      <c r="AR34">
        <v>31.22</v>
      </c>
      <c r="AS34">
        <v>0</v>
      </c>
      <c r="AT34">
        <v>104</v>
      </c>
      <c r="AU34">
        <v>60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4.94</v>
      </c>
      <c r="BB34">
        <v>4.94</v>
      </c>
      <c r="BC34">
        <v>4.94</v>
      </c>
      <c r="BH34">
        <v>0</v>
      </c>
      <c r="BI34">
        <v>1</v>
      </c>
      <c r="BJ34" t="s">
        <v>34</v>
      </c>
      <c r="BM34">
        <v>68001</v>
      </c>
      <c r="BN34">
        <v>0</v>
      </c>
      <c r="BO34" t="s">
        <v>571</v>
      </c>
      <c r="BP34">
        <v>1</v>
      </c>
      <c r="BQ34">
        <v>6</v>
      </c>
      <c r="BR34">
        <v>0</v>
      </c>
      <c r="BS34">
        <v>4.94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104</v>
      </c>
      <c r="CA34">
        <v>60</v>
      </c>
      <c r="CF34">
        <v>0</v>
      </c>
      <c r="CG34">
        <v>0</v>
      </c>
      <c r="CM34">
        <v>0</v>
      </c>
      <c r="CO34">
        <v>0</v>
      </c>
      <c r="CP34">
        <f t="shared" si="14"/>
        <v>40203.42</v>
      </c>
      <c r="CQ34">
        <f t="shared" si="15"/>
        <v>229531.86360000004</v>
      </c>
      <c r="CR34">
        <f t="shared" si="16"/>
        <v>15950.173200000003</v>
      </c>
      <c r="CS34">
        <f t="shared" si="17"/>
        <v>2048.1240000000003</v>
      </c>
      <c r="CT34">
        <f t="shared" si="18"/>
        <v>4073.6722000000004</v>
      </c>
      <c r="CU34">
        <f t="shared" si="19"/>
        <v>0</v>
      </c>
      <c r="CV34">
        <f t="shared" si="20"/>
        <v>85.72</v>
      </c>
      <c r="CW34">
        <f t="shared" si="21"/>
        <v>31.22</v>
      </c>
      <c r="CX34">
        <f t="shared" si="22"/>
        <v>0</v>
      </c>
      <c r="CY34">
        <f>((S34+R34)*(ROUND((FX34*IF((0=1),0.94,1)*IF((0=1),1,1)),0)/100))</f>
        <v>1025.6688000000001</v>
      </c>
      <c r="CZ34">
        <f>((S34+R34)*(ROUND((FY34*0.85),0)/100))</f>
        <v>591.732</v>
      </c>
      <c r="DM34" t="s">
        <v>35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1009</v>
      </c>
      <c r="DV34" t="s">
        <v>569</v>
      </c>
      <c r="DW34" t="s">
        <v>572</v>
      </c>
      <c r="DX34">
        <v>100000</v>
      </c>
      <c r="EE34">
        <v>13259465</v>
      </c>
      <c r="EF34">
        <v>6</v>
      </c>
      <c r="EG34" t="s">
        <v>573</v>
      </c>
      <c r="EH34">
        <v>0</v>
      </c>
      <c r="EJ34">
        <v>1</v>
      </c>
      <c r="EK34">
        <v>68001</v>
      </c>
      <c r="EL34" t="s">
        <v>574</v>
      </c>
      <c r="EM34" t="s">
        <v>575</v>
      </c>
      <c r="EQ34">
        <v>0</v>
      </c>
      <c r="ER34">
        <v>50517.35</v>
      </c>
      <c r="ES34">
        <v>46463.94</v>
      </c>
      <c r="ET34">
        <v>3228.78</v>
      </c>
      <c r="EU34">
        <v>414.6</v>
      </c>
      <c r="EV34">
        <v>824.63</v>
      </c>
      <c r="EW34">
        <v>85.72</v>
      </c>
      <c r="EX34">
        <v>31.22</v>
      </c>
      <c r="EY34">
        <v>0</v>
      </c>
      <c r="EZ34">
        <v>0</v>
      </c>
      <c r="FQ34">
        <v>0</v>
      </c>
      <c r="FR34">
        <f t="shared" si="23"/>
        <v>0</v>
      </c>
      <c r="FS34">
        <v>0</v>
      </c>
      <c r="FW34" t="s">
        <v>557</v>
      </c>
      <c r="FX34">
        <v>104</v>
      </c>
      <c r="FY34">
        <v>70.58823529411765</v>
      </c>
    </row>
    <row r="35" spans="1:181" ht="12.75">
      <c r="A35">
        <v>18</v>
      </c>
      <c r="B35">
        <v>1</v>
      </c>
      <c r="C35">
        <v>47</v>
      </c>
      <c r="E35" t="s">
        <v>36</v>
      </c>
      <c r="F35" t="s">
        <v>577</v>
      </c>
      <c r="G35" t="s">
        <v>0</v>
      </c>
      <c r="H35" t="s">
        <v>1</v>
      </c>
      <c r="I35">
        <f>I34*J35</f>
        <v>-16.2711</v>
      </c>
      <c r="J35">
        <v>-101</v>
      </c>
      <c r="O35">
        <f t="shared" si="2"/>
        <v>-36967.21</v>
      </c>
      <c r="P35">
        <f t="shared" si="3"/>
        <v>-36967.21</v>
      </c>
      <c r="Q35">
        <f t="shared" si="4"/>
        <v>0</v>
      </c>
      <c r="R35">
        <f t="shared" si="5"/>
        <v>0</v>
      </c>
      <c r="S35">
        <f t="shared" si="6"/>
        <v>0</v>
      </c>
      <c r="T35">
        <f t="shared" si="7"/>
        <v>0</v>
      </c>
      <c r="U35">
        <f t="shared" si="8"/>
        <v>0</v>
      </c>
      <c r="V35">
        <f t="shared" si="9"/>
        <v>0</v>
      </c>
      <c r="W35">
        <f t="shared" si="10"/>
        <v>0</v>
      </c>
      <c r="X35">
        <f t="shared" si="11"/>
        <v>0</v>
      </c>
      <c r="Y35">
        <f t="shared" si="12"/>
        <v>0</v>
      </c>
      <c r="AA35">
        <v>0</v>
      </c>
      <c r="AB35">
        <f t="shared" si="13"/>
        <v>459.91</v>
      </c>
      <c r="AC35">
        <f aca="true" t="shared" si="27" ref="AC35:AJ36">AL35</f>
        <v>459.91</v>
      </c>
      <c r="AD35">
        <f t="shared" si="27"/>
        <v>0</v>
      </c>
      <c r="AE35">
        <f t="shared" si="27"/>
        <v>0</v>
      </c>
      <c r="AF35">
        <f t="shared" si="27"/>
        <v>0</v>
      </c>
      <c r="AG35">
        <f t="shared" si="27"/>
        <v>0</v>
      </c>
      <c r="AH35">
        <f t="shared" si="27"/>
        <v>0</v>
      </c>
      <c r="AI35">
        <f t="shared" si="27"/>
        <v>0</v>
      </c>
      <c r="AJ35">
        <f t="shared" si="27"/>
        <v>0</v>
      </c>
      <c r="AK35">
        <v>459.91</v>
      </c>
      <c r="AL35">
        <v>459.91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4.94</v>
      </c>
      <c r="BB35">
        <v>4.94</v>
      </c>
      <c r="BC35">
        <v>4.94</v>
      </c>
      <c r="BH35">
        <v>3</v>
      </c>
      <c r="BI35">
        <v>2</v>
      </c>
      <c r="BJ35" t="s">
        <v>2</v>
      </c>
      <c r="BM35">
        <v>500002</v>
      </c>
      <c r="BN35">
        <v>0</v>
      </c>
      <c r="BO35" t="s">
        <v>571</v>
      </c>
      <c r="BP35">
        <v>1</v>
      </c>
      <c r="BQ35">
        <v>8</v>
      </c>
      <c r="BR35">
        <v>0</v>
      </c>
      <c r="BS35">
        <v>4.94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0</v>
      </c>
      <c r="CA35">
        <v>0</v>
      </c>
      <c r="CF35">
        <v>0</v>
      </c>
      <c r="CG35">
        <v>0</v>
      </c>
      <c r="CM35">
        <v>0</v>
      </c>
      <c r="CO35">
        <v>0</v>
      </c>
      <c r="CP35">
        <f t="shared" si="14"/>
        <v>-36967.21</v>
      </c>
      <c r="CQ35">
        <f t="shared" si="15"/>
        <v>2271.9554000000003</v>
      </c>
      <c r="CR35">
        <f t="shared" si="16"/>
        <v>0</v>
      </c>
      <c r="CS35">
        <f t="shared" si="17"/>
        <v>0</v>
      </c>
      <c r="CT35">
        <f t="shared" si="18"/>
        <v>0</v>
      </c>
      <c r="CU35">
        <f t="shared" si="19"/>
        <v>0</v>
      </c>
      <c r="CV35">
        <f t="shared" si="20"/>
        <v>0</v>
      </c>
      <c r="CW35">
        <f t="shared" si="21"/>
        <v>0</v>
      </c>
      <c r="CX35">
        <f t="shared" si="22"/>
        <v>0</v>
      </c>
      <c r="CY35">
        <f>(0)*BX35</f>
        <v>0</v>
      </c>
      <c r="CZ35">
        <f>(0)*AX35</f>
        <v>0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1009</v>
      </c>
      <c r="DV35" t="s">
        <v>1</v>
      </c>
      <c r="DW35" t="s">
        <v>1</v>
      </c>
      <c r="DX35">
        <v>1000</v>
      </c>
      <c r="EE35">
        <v>13259272</v>
      </c>
      <c r="EF35">
        <v>8</v>
      </c>
      <c r="EG35" t="s">
        <v>563</v>
      </c>
      <c r="EH35">
        <v>0</v>
      </c>
      <c r="EJ35">
        <v>2</v>
      </c>
      <c r="EK35">
        <v>500002</v>
      </c>
      <c r="EL35" t="s">
        <v>564</v>
      </c>
      <c r="EM35" t="s">
        <v>565</v>
      </c>
      <c r="EQ35">
        <v>0</v>
      </c>
      <c r="ER35">
        <v>459.91</v>
      </c>
      <c r="ES35">
        <v>459.91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0</v>
      </c>
      <c r="FQ35">
        <v>0</v>
      </c>
      <c r="FR35">
        <f t="shared" si="23"/>
        <v>0</v>
      </c>
      <c r="FS35">
        <v>0</v>
      </c>
      <c r="FX35">
        <v>0</v>
      </c>
      <c r="FY35">
        <v>0</v>
      </c>
    </row>
    <row r="36" spans="1:181" ht="12.75">
      <c r="A36">
        <v>18</v>
      </c>
      <c r="B36">
        <v>1</v>
      </c>
      <c r="C36">
        <v>46</v>
      </c>
      <c r="E36" t="s">
        <v>37</v>
      </c>
      <c r="F36" t="s">
        <v>571</v>
      </c>
      <c r="G36" t="s">
        <v>38</v>
      </c>
      <c r="H36" t="s">
        <v>1</v>
      </c>
      <c r="I36">
        <f>I34*J36</f>
        <v>16.2711</v>
      </c>
      <c r="J36">
        <v>101</v>
      </c>
      <c r="O36">
        <f t="shared" si="2"/>
        <v>45944.77</v>
      </c>
      <c r="P36">
        <f t="shared" si="3"/>
        <v>45944.77</v>
      </c>
      <c r="Q36">
        <f t="shared" si="4"/>
        <v>0</v>
      </c>
      <c r="R36">
        <f t="shared" si="5"/>
        <v>0</v>
      </c>
      <c r="S36">
        <f t="shared" si="6"/>
        <v>0</v>
      </c>
      <c r="T36">
        <f t="shared" si="7"/>
        <v>0</v>
      </c>
      <c r="U36">
        <f t="shared" si="8"/>
        <v>0</v>
      </c>
      <c r="V36">
        <f t="shared" si="9"/>
        <v>0</v>
      </c>
      <c r="W36">
        <f t="shared" si="10"/>
        <v>0</v>
      </c>
      <c r="X36">
        <f t="shared" si="11"/>
        <v>0</v>
      </c>
      <c r="Y36">
        <f t="shared" si="12"/>
        <v>0</v>
      </c>
      <c r="AA36">
        <v>0</v>
      </c>
      <c r="AB36">
        <f t="shared" si="13"/>
        <v>571.6</v>
      </c>
      <c r="AC36">
        <f t="shared" si="27"/>
        <v>571.6</v>
      </c>
      <c r="AD36">
        <f t="shared" si="27"/>
        <v>0</v>
      </c>
      <c r="AE36">
        <f t="shared" si="27"/>
        <v>0</v>
      </c>
      <c r="AF36">
        <f t="shared" si="27"/>
        <v>0</v>
      </c>
      <c r="AG36">
        <f t="shared" si="27"/>
        <v>0</v>
      </c>
      <c r="AH36">
        <f t="shared" si="27"/>
        <v>0</v>
      </c>
      <c r="AI36">
        <f t="shared" si="27"/>
        <v>0</v>
      </c>
      <c r="AJ36">
        <f t="shared" si="27"/>
        <v>0</v>
      </c>
      <c r="AK36">
        <v>571.6</v>
      </c>
      <c r="AL36">
        <v>571.6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4.94</v>
      </c>
      <c r="BB36">
        <v>4.94</v>
      </c>
      <c r="BC36">
        <v>4.94</v>
      </c>
      <c r="BH36">
        <v>3</v>
      </c>
      <c r="BI36">
        <v>2</v>
      </c>
      <c r="BJ36" t="s">
        <v>5</v>
      </c>
      <c r="BM36">
        <v>500002</v>
      </c>
      <c r="BN36">
        <v>0</v>
      </c>
      <c r="BO36" t="s">
        <v>571</v>
      </c>
      <c r="BP36">
        <v>1</v>
      </c>
      <c r="BQ36">
        <v>8</v>
      </c>
      <c r="BR36">
        <v>0</v>
      </c>
      <c r="BS36">
        <v>4.94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0</v>
      </c>
      <c r="CA36">
        <v>0</v>
      </c>
      <c r="CF36">
        <v>0</v>
      </c>
      <c r="CG36">
        <v>0</v>
      </c>
      <c r="CM36">
        <v>0</v>
      </c>
      <c r="CO36">
        <v>0</v>
      </c>
      <c r="CP36">
        <f t="shared" si="14"/>
        <v>45944.77</v>
      </c>
      <c r="CQ36">
        <f t="shared" si="15"/>
        <v>2823.704</v>
      </c>
      <c r="CR36">
        <f t="shared" si="16"/>
        <v>0</v>
      </c>
      <c r="CS36">
        <f t="shared" si="17"/>
        <v>0</v>
      </c>
      <c r="CT36">
        <f t="shared" si="18"/>
        <v>0</v>
      </c>
      <c r="CU36">
        <f t="shared" si="19"/>
        <v>0</v>
      </c>
      <c r="CV36">
        <f t="shared" si="20"/>
        <v>0</v>
      </c>
      <c r="CW36">
        <f t="shared" si="21"/>
        <v>0</v>
      </c>
      <c r="CX36">
        <f t="shared" si="22"/>
        <v>0</v>
      </c>
      <c r="CY36">
        <f>(0)*BX36</f>
        <v>0</v>
      </c>
      <c r="CZ36">
        <f>(0)*AX36</f>
        <v>0</v>
      </c>
      <c r="DN36">
        <v>0</v>
      </c>
      <c r="DO36">
        <v>0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1009</v>
      </c>
      <c r="DV36" t="s">
        <v>1</v>
      </c>
      <c r="DW36" t="s">
        <v>1</v>
      </c>
      <c r="DX36">
        <v>1000</v>
      </c>
      <c r="EE36">
        <v>13259272</v>
      </c>
      <c r="EF36">
        <v>8</v>
      </c>
      <c r="EG36" t="s">
        <v>563</v>
      </c>
      <c r="EH36">
        <v>0</v>
      </c>
      <c r="EJ36">
        <v>2</v>
      </c>
      <c r="EK36">
        <v>500002</v>
      </c>
      <c r="EL36" t="s">
        <v>564</v>
      </c>
      <c r="EM36" t="s">
        <v>565</v>
      </c>
      <c r="EQ36">
        <v>0</v>
      </c>
      <c r="ER36">
        <v>571.6</v>
      </c>
      <c r="ES36">
        <v>571.6</v>
      </c>
      <c r="ET36">
        <v>0</v>
      </c>
      <c r="EU36">
        <v>0</v>
      </c>
      <c r="EV36">
        <v>0</v>
      </c>
      <c r="EW36">
        <v>0</v>
      </c>
      <c r="EX36">
        <v>0</v>
      </c>
      <c r="EZ36">
        <v>0</v>
      </c>
      <c r="FQ36">
        <v>0</v>
      </c>
      <c r="FR36">
        <f t="shared" si="23"/>
        <v>0</v>
      </c>
      <c r="FS36">
        <v>0</v>
      </c>
      <c r="FX36">
        <v>0</v>
      </c>
      <c r="FY36">
        <v>0</v>
      </c>
    </row>
    <row r="37" spans="1:181" ht="12.75">
      <c r="A37">
        <v>17</v>
      </c>
      <c r="B37">
        <v>1</v>
      </c>
      <c r="C37">
        <f>ROW(SmtRes!A57)</f>
        <v>57</v>
      </c>
      <c r="D37">
        <f>ROW(EtalonRes!A53)</f>
        <v>53</v>
      </c>
      <c r="E37" t="s">
        <v>39</v>
      </c>
      <c r="F37" t="s">
        <v>40</v>
      </c>
      <c r="G37" t="s">
        <v>41</v>
      </c>
      <c r="H37" t="s">
        <v>42</v>
      </c>
      <c r="I37">
        <f>340/100</f>
        <v>3.4</v>
      </c>
      <c r="J37">
        <v>0</v>
      </c>
      <c r="O37">
        <f t="shared" si="2"/>
        <v>60499.17</v>
      </c>
      <c r="P37">
        <f t="shared" si="3"/>
        <v>56575.14</v>
      </c>
      <c r="Q37">
        <f t="shared" si="4"/>
        <v>1210.99</v>
      </c>
      <c r="R37">
        <f t="shared" si="5"/>
        <v>11.97</v>
      </c>
      <c r="S37">
        <f t="shared" si="6"/>
        <v>2713.04</v>
      </c>
      <c r="T37">
        <f t="shared" si="7"/>
        <v>0</v>
      </c>
      <c r="U37">
        <f t="shared" si="8"/>
        <v>59.11919999999999</v>
      </c>
      <c r="V37">
        <f t="shared" si="9"/>
        <v>0.2125</v>
      </c>
      <c r="W37">
        <f t="shared" si="10"/>
        <v>0</v>
      </c>
      <c r="X37">
        <f t="shared" si="11"/>
        <v>3869.51</v>
      </c>
      <c r="Y37">
        <f t="shared" si="12"/>
        <v>2207.26</v>
      </c>
      <c r="AA37">
        <v>0</v>
      </c>
      <c r="AB37">
        <f t="shared" si="13"/>
        <v>3601.999</v>
      </c>
      <c r="AC37">
        <f>(ES37)</f>
        <v>3368.37</v>
      </c>
      <c r="AD37">
        <f>((ET37*1.25))</f>
        <v>72.1</v>
      </c>
      <c r="AE37">
        <f>((EU37*1.25))</f>
        <v>0.7124999999999999</v>
      </c>
      <c r="AF37">
        <f>((EV37*1.15))</f>
        <v>161.529</v>
      </c>
      <c r="AG37">
        <f>(AP37)</f>
        <v>0</v>
      </c>
      <c r="AH37">
        <f>((EW37*1.15))</f>
        <v>17.387999999999998</v>
      </c>
      <c r="AI37">
        <f>((EX37*1.25))</f>
        <v>0.0625</v>
      </c>
      <c r="AJ37">
        <f>(AS37)</f>
        <v>0</v>
      </c>
      <c r="AK37">
        <v>3566.51</v>
      </c>
      <c r="AL37">
        <v>3368.37</v>
      </c>
      <c r="AM37">
        <v>57.68</v>
      </c>
      <c r="AN37">
        <v>0.57</v>
      </c>
      <c r="AO37">
        <v>140.46</v>
      </c>
      <c r="AP37">
        <v>0</v>
      </c>
      <c r="AQ37">
        <v>15.12</v>
      </c>
      <c r="AR37">
        <v>0.05</v>
      </c>
      <c r="AS37">
        <v>0</v>
      </c>
      <c r="AT37">
        <v>142</v>
      </c>
      <c r="AU37">
        <v>81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4.94</v>
      </c>
      <c r="BB37">
        <v>4.94</v>
      </c>
      <c r="BC37">
        <v>4.94</v>
      </c>
      <c r="BH37">
        <v>0</v>
      </c>
      <c r="BI37">
        <v>1</v>
      </c>
      <c r="BJ37" t="s">
        <v>43</v>
      </c>
      <c r="BM37">
        <v>27001</v>
      </c>
      <c r="BN37">
        <v>0</v>
      </c>
      <c r="BO37" t="s">
        <v>550</v>
      </c>
      <c r="BP37">
        <v>1</v>
      </c>
      <c r="BQ37">
        <v>2</v>
      </c>
      <c r="BR37">
        <v>0</v>
      </c>
      <c r="BS37">
        <v>4.94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142</v>
      </c>
      <c r="CA37">
        <v>95</v>
      </c>
      <c r="CF37">
        <v>0</v>
      </c>
      <c r="CG37">
        <v>0</v>
      </c>
      <c r="CM37">
        <v>0</v>
      </c>
      <c r="CO37">
        <v>0</v>
      </c>
      <c r="CP37">
        <f t="shared" si="14"/>
        <v>60499.17</v>
      </c>
      <c r="CQ37">
        <f t="shared" si="15"/>
        <v>16639.7478</v>
      </c>
      <c r="CR37">
        <f t="shared" si="16"/>
        <v>356.174</v>
      </c>
      <c r="CS37">
        <f t="shared" si="17"/>
        <v>3.5197499999999997</v>
      </c>
      <c r="CT37">
        <f t="shared" si="18"/>
        <v>797.95326</v>
      </c>
      <c r="CU37">
        <f t="shared" si="19"/>
        <v>0</v>
      </c>
      <c r="CV37">
        <f t="shared" si="20"/>
        <v>17.387999999999998</v>
      </c>
      <c r="CW37">
        <f t="shared" si="21"/>
        <v>0.0625</v>
      </c>
      <c r="CX37">
        <f t="shared" si="22"/>
        <v>0</v>
      </c>
      <c r="CY37">
        <f>((S37+R37)*(ROUND((FX37*IF((0=1),0.94,1)*IF((0=1),1,1)),0)/100))</f>
        <v>3869.5141999999996</v>
      </c>
      <c r="CZ37">
        <f>((S37+R37)*(ROUND((FY37*0.85),0)/100))</f>
        <v>2207.2581</v>
      </c>
      <c r="DE37" t="s">
        <v>551</v>
      </c>
      <c r="DF37" t="s">
        <v>551</v>
      </c>
      <c r="DG37" t="s">
        <v>552</v>
      </c>
      <c r="DI37" t="s">
        <v>552</v>
      </c>
      <c r="DJ37" t="s">
        <v>551</v>
      </c>
      <c r="DN37">
        <v>0</v>
      </c>
      <c r="DO37">
        <v>0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1005</v>
      </c>
      <c r="DV37" t="s">
        <v>42</v>
      </c>
      <c r="DW37" t="s">
        <v>44</v>
      </c>
      <c r="DX37">
        <v>100</v>
      </c>
      <c r="EE37">
        <v>13259380</v>
      </c>
      <c r="EF37">
        <v>2</v>
      </c>
      <c r="EG37" t="s">
        <v>554</v>
      </c>
      <c r="EH37">
        <v>0</v>
      </c>
      <c r="EJ37">
        <v>1</v>
      </c>
      <c r="EK37">
        <v>27001</v>
      </c>
      <c r="EL37" t="s">
        <v>555</v>
      </c>
      <c r="EM37" t="s">
        <v>556</v>
      </c>
      <c r="EQ37">
        <v>0</v>
      </c>
      <c r="ER37">
        <v>3566.51</v>
      </c>
      <c r="ES37">
        <v>3368.37</v>
      </c>
      <c r="ET37">
        <v>57.68</v>
      </c>
      <c r="EU37">
        <v>0.57</v>
      </c>
      <c r="EV37">
        <v>140.46</v>
      </c>
      <c r="EW37">
        <v>15.12</v>
      </c>
      <c r="EX37">
        <v>0.05</v>
      </c>
      <c r="EY37">
        <v>0</v>
      </c>
      <c r="EZ37">
        <v>0</v>
      </c>
      <c r="FQ37">
        <v>0</v>
      </c>
      <c r="FR37">
        <f t="shared" si="23"/>
        <v>0</v>
      </c>
      <c r="FS37">
        <v>0</v>
      </c>
      <c r="FW37" t="s">
        <v>557</v>
      </c>
      <c r="FX37">
        <v>142</v>
      </c>
      <c r="FY37">
        <v>95</v>
      </c>
    </row>
    <row r="38" spans="1:181" ht="12.75">
      <c r="A38">
        <v>18</v>
      </c>
      <c r="B38">
        <v>1</v>
      </c>
      <c r="C38">
        <v>57</v>
      </c>
      <c r="E38" t="s">
        <v>45</v>
      </c>
      <c r="F38" t="s">
        <v>46</v>
      </c>
      <c r="G38" t="s">
        <v>47</v>
      </c>
      <c r="H38" t="s">
        <v>1</v>
      </c>
      <c r="I38">
        <f>I37*J38</f>
        <v>-24.276</v>
      </c>
      <c r="J38">
        <v>-7.14</v>
      </c>
      <c r="O38">
        <f t="shared" si="2"/>
        <v>-54611.94</v>
      </c>
      <c r="P38">
        <f t="shared" si="3"/>
        <v>-54611.94</v>
      </c>
      <c r="Q38">
        <f t="shared" si="4"/>
        <v>0</v>
      </c>
      <c r="R38">
        <f t="shared" si="5"/>
        <v>0</v>
      </c>
      <c r="S38">
        <f t="shared" si="6"/>
        <v>0</v>
      </c>
      <c r="T38">
        <f t="shared" si="7"/>
        <v>0</v>
      </c>
      <c r="U38">
        <f t="shared" si="8"/>
        <v>0</v>
      </c>
      <c r="V38">
        <f t="shared" si="9"/>
        <v>0</v>
      </c>
      <c r="W38">
        <f t="shared" si="10"/>
        <v>0</v>
      </c>
      <c r="X38">
        <f t="shared" si="11"/>
        <v>0</v>
      </c>
      <c r="Y38">
        <f t="shared" si="12"/>
        <v>0</v>
      </c>
      <c r="AA38">
        <v>0</v>
      </c>
      <c r="AB38">
        <f t="shared" si="13"/>
        <v>455.39</v>
      </c>
      <c r="AC38">
        <f>AL38</f>
        <v>455.39</v>
      </c>
      <c r="AD38">
        <f>(AM38*1.25)</f>
        <v>0</v>
      </c>
      <c r="AE38">
        <f>(AN38*1.25)</f>
        <v>0</v>
      </c>
      <c r="AF38">
        <f>(AO38*1.15)</f>
        <v>0</v>
      </c>
      <c r="AG38">
        <f>AP38</f>
        <v>0</v>
      </c>
      <c r="AH38">
        <f>(AQ38*1.15)</f>
        <v>0</v>
      </c>
      <c r="AI38">
        <f>(AR38*1.25)</f>
        <v>0</v>
      </c>
      <c r="AJ38">
        <f>AS38</f>
        <v>0</v>
      </c>
      <c r="AK38">
        <v>455.39</v>
      </c>
      <c r="AL38">
        <v>455.39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4.94</v>
      </c>
      <c r="BB38">
        <v>4.94</v>
      </c>
      <c r="BC38">
        <v>4.94</v>
      </c>
      <c r="BH38">
        <v>3</v>
      </c>
      <c r="BI38">
        <v>2</v>
      </c>
      <c r="BJ38" t="s">
        <v>48</v>
      </c>
      <c r="BM38">
        <v>500002</v>
      </c>
      <c r="BN38">
        <v>0</v>
      </c>
      <c r="BO38" t="s">
        <v>550</v>
      </c>
      <c r="BP38">
        <v>1</v>
      </c>
      <c r="BQ38">
        <v>8</v>
      </c>
      <c r="BR38">
        <v>0</v>
      </c>
      <c r="BS38">
        <v>4.94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0</v>
      </c>
      <c r="CA38">
        <v>0</v>
      </c>
      <c r="CF38">
        <v>0</v>
      </c>
      <c r="CG38">
        <v>0</v>
      </c>
      <c r="CM38">
        <v>0</v>
      </c>
      <c r="CO38">
        <v>0</v>
      </c>
      <c r="CP38">
        <f t="shared" si="14"/>
        <v>-54611.94</v>
      </c>
      <c r="CQ38">
        <f t="shared" si="15"/>
        <v>2249.6266</v>
      </c>
      <c r="CR38">
        <f t="shared" si="16"/>
        <v>0</v>
      </c>
      <c r="CS38">
        <f t="shared" si="17"/>
        <v>0</v>
      </c>
      <c r="CT38">
        <f t="shared" si="18"/>
        <v>0</v>
      </c>
      <c r="CU38">
        <f t="shared" si="19"/>
        <v>0</v>
      </c>
      <c r="CV38">
        <f t="shared" si="20"/>
        <v>0</v>
      </c>
      <c r="CW38">
        <f t="shared" si="21"/>
        <v>0</v>
      </c>
      <c r="CX38">
        <f t="shared" si="22"/>
        <v>0</v>
      </c>
      <c r="CY38">
        <f>(0)*BX38</f>
        <v>0</v>
      </c>
      <c r="CZ38">
        <f>(0)*AX38</f>
        <v>0</v>
      </c>
      <c r="DE38" t="s">
        <v>551</v>
      </c>
      <c r="DF38" t="s">
        <v>551</v>
      </c>
      <c r="DG38" t="s">
        <v>552</v>
      </c>
      <c r="DI38" t="s">
        <v>552</v>
      </c>
      <c r="DJ38" t="s">
        <v>551</v>
      </c>
      <c r="DM38" t="s">
        <v>49</v>
      </c>
      <c r="DN38">
        <v>0</v>
      </c>
      <c r="DO38">
        <v>0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1009</v>
      </c>
      <c r="DV38" t="s">
        <v>1</v>
      </c>
      <c r="DW38" t="s">
        <v>1</v>
      </c>
      <c r="DX38">
        <v>1000</v>
      </c>
      <c r="EE38">
        <v>13259272</v>
      </c>
      <c r="EF38">
        <v>8</v>
      </c>
      <c r="EG38" t="s">
        <v>563</v>
      </c>
      <c r="EH38">
        <v>0</v>
      </c>
      <c r="EJ38">
        <v>2</v>
      </c>
      <c r="EK38">
        <v>500002</v>
      </c>
      <c r="EL38" t="s">
        <v>564</v>
      </c>
      <c r="EM38" t="s">
        <v>565</v>
      </c>
      <c r="EQ38">
        <v>0</v>
      </c>
      <c r="ER38">
        <v>455.39</v>
      </c>
      <c r="ES38">
        <v>455.39</v>
      </c>
      <c r="ET38">
        <v>0</v>
      </c>
      <c r="EU38">
        <v>0</v>
      </c>
      <c r="EV38">
        <v>0</v>
      </c>
      <c r="EW38">
        <v>0</v>
      </c>
      <c r="EX38">
        <v>0</v>
      </c>
      <c r="EZ38">
        <v>0</v>
      </c>
      <c r="FQ38">
        <v>0</v>
      </c>
      <c r="FR38">
        <f t="shared" si="23"/>
        <v>0</v>
      </c>
      <c r="FS38">
        <v>0</v>
      </c>
      <c r="FX38">
        <v>0</v>
      </c>
      <c r="FY38">
        <v>0</v>
      </c>
    </row>
    <row r="39" spans="1:181" ht="12.75">
      <c r="A39">
        <v>18</v>
      </c>
      <c r="B39">
        <v>1</v>
      </c>
      <c r="C39">
        <v>56</v>
      </c>
      <c r="E39" t="s">
        <v>50</v>
      </c>
      <c r="F39" t="s">
        <v>571</v>
      </c>
      <c r="G39" t="s">
        <v>4</v>
      </c>
      <c r="H39" t="s">
        <v>1</v>
      </c>
      <c r="I39">
        <f>I37*J39</f>
        <v>24.276</v>
      </c>
      <c r="J39">
        <v>7.14</v>
      </c>
      <c r="O39">
        <f t="shared" si="2"/>
        <v>68548.24</v>
      </c>
      <c r="P39">
        <f t="shared" si="3"/>
        <v>68548.24</v>
      </c>
      <c r="Q39">
        <f t="shared" si="4"/>
        <v>0</v>
      </c>
      <c r="R39">
        <f t="shared" si="5"/>
        <v>0</v>
      </c>
      <c r="S39">
        <f t="shared" si="6"/>
        <v>0</v>
      </c>
      <c r="T39">
        <f t="shared" si="7"/>
        <v>0</v>
      </c>
      <c r="U39">
        <f t="shared" si="8"/>
        <v>0</v>
      </c>
      <c r="V39">
        <f t="shared" si="9"/>
        <v>0</v>
      </c>
      <c r="W39">
        <f t="shared" si="10"/>
        <v>0</v>
      </c>
      <c r="X39">
        <f t="shared" si="11"/>
        <v>0</v>
      </c>
      <c r="Y39">
        <f t="shared" si="12"/>
        <v>0</v>
      </c>
      <c r="AA39">
        <v>0</v>
      </c>
      <c r="AB39">
        <f t="shared" si="13"/>
        <v>571.6</v>
      </c>
      <c r="AC39">
        <f>AL39</f>
        <v>571.6</v>
      </c>
      <c r="AD39">
        <f>AM39</f>
        <v>0</v>
      </c>
      <c r="AE39">
        <f>AN39</f>
        <v>0</v>
      </c>
      <c r="AF39">
        <f>AO39</f>
        <v>0</v>
      </c>
      <c r="AG39">
        <f>AP39</f>
        <v>0</v>
      </c>
      <c r="AH39">
        <f>AQ39</f>
        <v>0</v>
      </c>
      <c r="AI39">
        <f>AR39</f>
        <v>0</v>
      </c>
      <c r="AJ39">
        <f>AS39</f>
        <v>0</v>
      </c>
      <c r="AK39">
        <v>571.6</v>
      </c>
      <c r="AL39">
        <v>571.6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4.94</v>
      </c>
      <c r="BB39">
        <v>4.94</v>
      </c>
      <c r="BC39">
        <v>4.94</v>
      </c>
      <c r="BH39">
        <v>3</v>
      </c>
      <c r="BI39">
        <v>2</v>
      </c>
      <c r="BJ39" t="s">
        <v>51</v>
      </c>
      <c r="BM39">
        <v>500002</v>
      </c>
      <c r="BN39">
        <v>0</v>
      </c>
      <c r="BO39" t="s">
        <v>550</v>
      </c>
      <c r="BP39">
        <v>1</v>
      </c>
      <c r="BQ39">
        <v>8</v>
      </c>
      <c r="BR39">
        <v>0</v>
      </c>
      <c r="BS39">
        <v>4.94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0</v>
      </c>
      <c r="CA39">
        <v>0</v>
      </c>
      <c r="CF39">
        <v>0</v>
      </c>
      <c r="CG39">
        <v>0</v>
      </c>
      <c r="CM39">
        <v>0</v>
      </c>
      <c r="CO39">
        <v>0</v>
      </c>
      <c r="CP39">
        <f t="shared" si="14"/>
        <v>68548.24</v>
      </c>
      <c r="CQ39">
        <f t="shared" si="15"/>
        <v>2823.704</v>
      </c>
      <c r="CR39">
        <f t="shared" si="16"/>
        <v>0</v>
      </c>
      <c r="CS39">
        <f t="shared" si="17"/>
        <v>0</v>
      </c>
      <c r="CT39">
        <f t="shared" si="18"/>
        <v>0</v>
      </c>
      <c r="CU39">
        <f t="shared" si="19"/>
        <v>0</v>
      </c>
      <c r="CV39">
        <f t="shared" si="20"/>
        <v>0</v>
      </c>
      <c r="CW39">
        <f t="shared" si="21"/>
        <v>0</v>
      </c>
      <c r="CX39">
        <f t="shared" si="22"/>
        <v>0</v>
      </c>
      <c r="CY39">
        <f>(0)*BX39</f>
        <v>0</v>
      </c>
      <c r="CZ39">
        <f>(0)*AX39</f>
        <v>0</v>
      </c>
      <c r="DN39">
        <v>0</v>
      </c>
      <c r="DO39">
        <v>0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1009</v>
      </c>
      <c r="DV39" t="s">
        <v>1</v>
      </c>
      <c r="DW39" t="s">
        <v>1</v>
      </c>
      <c r="DX39">
        <v>1000</v>
      </c>
      <c r="EE39">
        <v>13259272</v>
      </c>
      <c r="EF39">
        <v>8</v>
      </c>
      <c r="EG39" t="s">
        <v>563</v>
      </c>
      <c r="EH39">
        <v>0</v>
      </c>
      <c r="EJ39">
        <v>2</v>
      </c>
      <c r="EK39">
        <v>500002</v>
      </c>
      <c r="EL39" t="s">
        <v>564</v>
      </c>
      <c r="EM39" t="s">
        <v>565</v>
      </c>
      <c r="EQ39">
        <v>0</v>
      </c>
      <c r="ER39">
        <v>571.6</v>
      </c>
      <c r="ES39">
        <v>571.6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0</v>
      </c>
      <c r="FQ39">
        <v>0</v>
      </c>
      <c r="FR39">
        <f t="shared" si="23"/>
        <v>0</v>
      </c>
      <c r="FS39">
        <v>0</v>
      </c>
      <c r="FX39">
        <v>0</v>
      </c>
      <c r="FY39">
        <v>0</v>
      </c>
    </row>
    <row r="40" spans="1:181" ht="12.75">
      <c r="A40">
        <v>17</v>
      </c>
      <c r="B40">
        <v>1</v>
      </c>
      <c r="C40">
        <f>ROW(SmtRes!A61)</f>
        <v>61</v>
      </c>
      <c r="D40">
        <f>ROW(EtalonRes!A56)</f>
        <v>56</v>
      </c>
      <c r="E40" t="s">
        <v>52</v>
      </c>
      <c r="F40" t="s">
        <v>53</v>
      </c>
      <c r="G40" t="s">
        <v>54</v>
      </c>
      <c r="H40" t="s">
        <v>42</v>
      </c>
      <c r="I40">
        <f>Source!I37*4</f>
        <v>13.6</v>
      </c>
      <c r="J40">
        <v>0</v>
      </c>
      <c r="O40">
        <f t="shared" si="2"/>
        <v>39390.15</v>
      </c>
      <c r="P40">
        <f t="shared" si="3"/>
        <v>37019.73</v>
      </c>
      <c r="Q40">
        <f t="shared" si="4"/>
        <v>705.43</v>
      </c>
      <c r="R40">
        <f t="shared" si="5"/>
        <v>0</v>
      </c>
      <c r="S40">
        <f t="shared" si="6"/>
        <v>1664.99</v>
      </c>
      <c r="T40">
        <f t="shared" si="7"/>
        <v>0</v>
      </c>
      <c r="U40">
        <f t="shared" si="8"/>
        <v>36.2848</v>
      </c>
      <c r="V40">
        <f t="shared" si="9"/>
        <v>0</v>
      </c>
      <c r="W40">
        <f t="shared" si="10"/>
        <v>0</v>
      </c>
      <c r="X40">
        <f t="shared" si="11"/>
        <v>2364.29</v>
      </c>
      <c r="Y40">
        <f t="shared" si="12"/>
        <v>1348.64</v>
      </c>
      <c r="AA40">
        <v>0</v>
      </c>
      <c r="AB40">
        <f t="shared" si="13"/>
        <v>586.3025</v>
      </c>
      <c r="AC40">
        <f>(ES40)</f>
        <v>551.02</v>
      </c>
      <c r="AD40">
        <f>((ET40*1.25))</f>
        <v>10.5</v>
      </c>
      <c r="AE40">
        <f>((EU40*1.25))</f>
        <v>0</v>
      </c>
      <c r="AF40">
        <f>((EV40*1.15))</f>
        <v>24.7825</v>
      </c>
      <c r="AG40">
        <f>(AP40)</f>
        <v>0</v>
      </c>
      <c r="AH40">
        <f>((EW40*1.15))</f>
        <v>2.6679999999999997</v>
      </c>
      <c r="AI40">
        <f>((EX40*1.25))</f>
        <v>0</v>
      </c>
      <c r="AJ40">
        <f>(AS40)</f>
        <v>0</v>
      </c>
      <c r="AK40">
        <v>580.97</v>
      </c>
      <c r="AL40">
        <v>551.02</v>
      </c>
      <c r="AM40">
        <v>8.4</v>
      </c>
      <c r="AN40">
        <v>0</v>
      </c>
      <c r="AO40">
        <v>21.55</v>
      </c>
      <c r="AP40">
        <v>0</v>
      </c>
      <c r="AQ40">
        <v>2.32</v>
      </c>
      <c r="AR40">
        <v>0</v>
      </c>
      <c r="AS40">
        <v>0</v>
      </c>
      <c r="AT40">
        <v>142</v>
      </c>
      <c r="AU40">
        <v>81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4.94</v>
      </c>
      <c r="BB40">
        <v>4.94</v>
      </c>
      <c r="BC40">
        <v>4.94</v>
      </c>
      <c r="BH40">
        <v>0</v>
      </c>
      <c r="BI40">
        <v>1</v>
      </c>
      <c r="BJ40" t="s">
        <v>55</v>
      </c>
      <c r="BM40">
        <v>27001</v>
      </c>
      <c r="BN40">
        <v>0</v>
      </c>
      <c r="BO40" t="s">
        <v>550</v>
      </c>
      <c r="BP40">
        <v>1</v>
      </c>
      <c r="BQ40">
        <v>2</v>
      </c>
      <c r="BR40">
        <v>0</v>
      </c>
      <c r="BS40">
        <v>4.94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142</v>
      </c>
      <c r="CA40">
        <v>95</v>
      </c>
      <c r="CF40">
        <v>0</v>
      </c>
      <c r="CG40">
        <v>0</v>
      </c>
      <c r="CM40">
        <v>0</v>
      </c>
      <c r="CO40">
        <v>0</v>
      </c>
      <c r="CP40">
        <f t="shared" si="14"/>
        <v>39390.15</v>
      </c>
      <c r="CQ40">
        <f t="shared" si="15"/>
        <v>2722.0388000000003</v>
      </c>
      <c r="CR40">
        <f t="shared" si="16"/>
        <v>51.870000000000005</v>
      </c>
      <c r="CS40">
        <f t="shared" si="17"/>
        <v>0</v>
      </c>
      <c r="CT40">
        <f t="shared" si="18"/>
        <v>122.42555</v>
      </c>
      <c r="CU40">
        <f t="shared" si="19"/>
        <v>0</v>
      </c>
      <c r="CV40">
        <f t="shared" si="20"/>
        <v>2.6679999999999997</v>
      </c>
      <c r="CW40">
        <f t="shared" si="21"/>
        <v>0</v>
      </c>
      <c r="CX40">
        <f t="shared" si="22"/>
        <v>0</v>
      </c>
      <c r="CY40">
        <f>((S40+R40)*(ROUND((FX40*IF((0=1),0.94,1)*IF((0=1),1,1)),0)/100))</f>
        <v>2364.2858</v>
      </c>
      <c r="CZ40">
        <f>((S40+R40)*(ROUND((FY40*0.85),0)/100))</f>
        <v>1348.6419</v>
      </c>
      <c r="DE40" t="s">
        <v>551</v>
      </c>
      <c r="DF40" t="s">
        <v>551</v>
      </c>
      <c r="DG40" t="s">
        <v>552</v>
      </c>
      <c r="DI40" t="s">
        <v>552</v>
      </c>
      <c r="DJ40" t="s">
        <v>551</v>
      </c>
      <c r="DN40">
        <v>0</v>
      </c>
      <c r="DO40">
        <v>0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1005</v>
      </c>
      <c r="DV40" t="s">
        <v>42</v>
      </c>
      <c r="DW40" t="s">
        <v>44</v>
      </c>
      <c r="DX40">
        <v>100</v>
      </c>
      <c r="EE40">
        <v>13259380</v>
      </c>
      <c r="EF40">
        <v>2</v>
      </c>
      <c r="EG40" t="s">
        <v>554</v>
      </c>
      <c r="EH40">
        <v>0</v>
      </c>
      <c r="EJ40">
        <v>1</v>
      </c>
      <c r="EK40">
        <v>27001</v>
      </c>
      <c r="EL40" t="s">
        <v>555</v>
      </c>
      <c r="EM40" t="s">
        <v>556</v>
      </c>
      <c r="EQ40">
        <v>0</v>
      </c>
      <c r="ER40">
        <v>580.97</v>
      </c>
      <c r="ES40">
        <v>551.02</v>
      </c>
      <c r="ET40">
        <v>8.4</v>
      </c>
      <c r="EU40">
        <v>0</v>
      </c>
      <c r="EV40">
        <v>21.55</v>
      </c>
      <c r="EW40">
        <v>2.32</v>
      </c>
      <c r="EX40">
        <v>0</v>
      </c>
      <c r="EY40">
        <v>0</v>
      </c>
      <c r="EZ40">
        <v>0</v>
      </c>
      <c r="FQ40">
        <v>0</v>
      </c>
      <c r="FR40">
        <f t="shared" si="23"/>
        <v>0</v>
      </c>
      <c r="FS40">
        <v>0</v>
      </c>
      <c r="FW40" t="s">
        <v>557</v>
      </c>
      <c r="FX40">
        <v>142</v>
      </c>
      <c r="FY40">
        <v>95</v>
      </c>
    </row>
    <row r="41" spans="1:181" ht="12.75">
      <c r="A41">
        <v>18</v>
      </c>
      <c r="B41">
        <v>1</v>
      </c>
      <c r="C41">
        <v>61</v>
      </c>
      <c r="E41" t="s">
        <v>56</v>
      </c>
      <c r="F41" t="s">
        <v>46</v>
      </c>
      <c r="G41" t="s">
        <v>47</v>
      </c>
      <c r="H41" t="s">
        <v>1</v>
      </c>
      <c r="I41">
        <f>I40*J41</f>
        <v>-16.456</v>
      </c>
      <c r="J41">
        <v>-1.21</v>
      </c>
      <c r="O41">
        <f t="shared" si="2"/>
        <v>-37019.86</v>
      </c>
      <c r="P41">
        <f t="shared" si="3"/>
        <v>-37019.86</v>
      </c>
      <c r="Q41">
        <f t="shared" si="4"/>
        <v>0</v>
      </c>
      <c r="R41">
        <f t="shared" si="5"/>
        <v>0</v>
      </c>
      <c r="S41">
        <f t="shared" si="6"/>
        <v>0</v>
      </c>
      <c r="T41">
        <f t="shared" si="7"/>
        <v>0</v>
      </c>
      <c r="U41">
        <f t="shared" si="8"/>
        <v>0</v>
      </c>
      <c r="V41">
        <f t="shared" si="9"/>
        <v>0</v>
      </c>
      <c r="W41">
        <f t="shared" si="10"/>
        <v>0</v>
      </c>
      <c r="X41">
        <f t="shared" si="11"/>
        <v>0</v>
      </c>
      <c r="Y41">
        <f t="shared" si="12"/>
        <v>0</v>
      </c>
      <c r="AA41">
        <v>0</v>
      </c>
      <c r="AB41">
        <f t="shared" si="13"/>
        <v>455.39</v>
      </c>
      <c r="AC41">
        <f>AL41</f>
        <v>455.39</v>
      </c>
      <c r="AD41">
        <f>(AM41*1.25)</f>
        <v>0</v>
      </c>
      <c r="AE41">
        <f>(AN41*1.25)</f>
        <v>0</v>
      </c>
      <c r="AF41">
        <f>(AO41*1.15)</f>
        <v>0</v>
      </c>
      <c r="AG41">
        <f>AP41</f>
        <v>0</v>
      </c>
      <c r="AH41">
        <f>(AQ41*1.15)</f>
        <v>0</v>
      </c>
      <c r="AI41">
        <f>(AR41*1.25)</f>
        <v>0</v>
      </c>
      <c r="AJ41">
        <f>AS41</f>
        <v>0</v>
      </c>
      <c r="AK41">
        <v>455.39</v>
      </c>
      <c r="AL41">
        <v>455.39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4.94</v>
      </c>
      <c r="BB41">
        <v>4.94</v>
      </c>
      <c r="BC41">
        <v>4.94</v>
      </c>
      <c r="BH41">
        <v>3</v>
      </c>
      <c r="BI41">
        <v>2</v>
      </c>
      <c r="BJ41" t="s">
        <v>48</v>
      </c>
      <c r="BM41">
        <v>500002</v>
      </c>
      <c r="BN41">
        <v>0</v>
      </c>
      <c r="BO41" t="s">
        <v>550</v>
      </c>
      <c r="BP41">
        <v>1</v>
      </c>
      <c r="BQ41">
        <v>8</v>
      </c>
      <c r="BR41">
        <v>0</v>
      </c>
      <c r="BS41">
        <v>4.94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0</v>
      </c>
      <c r="CA41">
        <v>0</v>
      </c>
      <c r="CF41">
        <v>0</v>
      </c>
      <c r="CG41">
        <v>0</v>
      </c>
      <c r="CM41">
        <v>0</v>
      </c>
      <c r="CO41">
        <v>0</v>
      </c>
      <c r="CP41">
        <f t="shared" si="14"/>
        <v>-37019.86</v>
      </c>
      <c r="CQ41">
        <f t="shared" si="15"/>
        <v>2249.6266</v>
      </c>
      <c r="CR41">
        <f t="shared" si="16"/>
        <v>0</v>
      </c>
      <c r="CS41">
        <f t="shared" si="17"/>
        <v>0</v>
      </c>
      <c r="CT41">
        <f t="shared" si="18"/>
        <v>0</v>
      </c>
      <c r="CU41">
        <f t="shared" si="19"/>
        <v>0</v>
      </c>
      <c r="CV41">
        <f t="shared" si="20"/>
        <v>0</v>
      </c>
      <c r="CW41">
        <f t="shared" si="21"/>
        <v>0</v>
      </c>
      <c r="CX41">
        <f t="shared" si="22"/>
        <v>0</v>
      </c>
      <c r="CY41">
        <f>(0)*BX41</f>
        <v>0</v>
      </c>
      <c r="CZ41">
        <f>(0)*AX41</f>
        <v>0</v>
      </c>
      <c r="DE41" t="s">
        <v>551</v>
      </c>
      <c r="DF41" t="s">
        <v>551</v>
      </c>
      <c r="DG41" t="s">
        <v>552</v>
      </c>
      <c r="DI41" t="s">
        <v>552</v>
      </c>
      <c r="DJ41" t="s">
        <v>551</v>
      </c>
      <c r="DM41" t="s">
        <v>49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1009</v>
      </c>
      <c r="DV41" t="s">
        <v>1</v>
      </c>
      <c r="DW41" t="s">
        <v>1</v>
      </c>
      <c r="DX41">
        <v>1000</v>
      </c>
      <c r="EE41">
        <v>13259272</v>
      </c>
      <c r="EF41">
        <v>8</v>
      </c>
      <c r="EG41" t="s">
        <v>563</v>
      </c>
      <c r="EH41">
        <v>0</v>
      </c>
      <c r="EJ41">
        <v>2</v>
      </c>
      <c r="EK41">
        <v>500002</v>
      </c>
      <c r="EL41" t="s">
        <v>564</v>
      </c>
      <c r="EM41" t="s">
        <v>565</v>
      </c>
      <c r="EQ41">
        <v>0</v>
      </c>
      <c r="ER41">
        <v>455.39</v>
      </c>
      <c r="ES41">
        <v>455.39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0</v>
      </c>
      <c r="FQ41">
        <v>0</v>
      </c>
      <c r="FR41">
        <f t="shared" si="23"/>
        <v>0</v>
      </c>
      <c r="FS41">
        <v>0</v>
      </c>
      <c r="FX41">
        <v>0</v>
      </c>
      <c r="FY41">
        <v>0</v>
      </c>
    </row>
    <row r="42" spans="1:181" ht="12.75">
      <c r="A42">
        <v>18</v>
      </c>
      <c r="B42">
        <v>1</v>
      </c>
      <c r="C42">
        <v>60</v>
      </c>
      <c r="E42" t="s">
        <v>57</v>
      </c>
      <c r="F42" t="s">
        <v>571</v>
      </c>
      <c r="G42" t="s">
        <v>4</v>
      </c>
      <c r="H42" t="s">
        <v>1</v>
      </c>
      <c r="I42">
        <f>I40*J42</f>
        <v>16.456</v>
      </c>
      <c r="J42">
        <v>1.21</v>
      </c>
      <c r="O42">
        <f t="shared" si="2"/>
        <v>46466.87</v>
      </c>
      <c r="P42">
        <f t="shared" si="3"/>
        <v>46466.87</v>
      </c>
      <c r="Q42">
        <f t="shared" si="4"/>
        <v>0</v>
      </c>
      <c r="R42">
        <f t="shared" si="5"/>
        <v>0</v>
      </c>
      <c r="S42">
        <f t="shared" si="6"/>
        <v>0</v>
      </c>
      <c r="T42">
        <f t="shared" si="7"/>
        <v>0</v>
      </c>
      <c r="U42">
        <f t="shared" si="8"/>
        <v>0</v>
      </c>
      <c r="V42">
        <f t="shared" si="9"/>
        <v>0</v>
      </c>
      <c r="W42">
        <f t="shared" si="10"/>
        <v>0</v>
      </c>
      <c r="X42">
        <f t="shared" si="11"/>
        <v>0</v>
      </c>
      <c r="Y42">
        <f t="shared" si="12"/>
        <v>0</v>
      </c>
      <c r="AA42">
        <v>0</v>
      </c>
      <c r="AB42">
        <f t="shared" si="13"/>
        <v>571.6</v>
      </c>
      <c r="AC42">
        <f>AL42</f>
        <v>571.6</v>
      </c>
      <c r="AD42">
        <f>AM42</f>
        <v>0</v>
      </c>
      <c r="AE42">
        <f>AN42</f>
        <v>0</v>
      </c>
      <c r="AF42">
        <f>AO42</f>
        <v>0</v>
      </c>
      <c r="AG42">
        <f>AP42</f>
        <v>0</v>
      </c>
      <c r="AH42">
        <f>AQ42</f>
        <v>0</v>
      </c>
      <c r="AI42">
        <f>AR42</f>
        <v>0</v>
      </c>
      <c r="AJ42">
        <f>AS42</f>
        <v>0</v>
      </c>
      <c r="AK42">
        <v>571.6</v>
      </c>
      <c r="AL42">
        <v>571.6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4.94</v>
      </c>
      <c r="BB42">
        <v>4.94</v>
      </c>
      <c r="BC42">
        <v>4.94</v>
      </c>
      <c r="BH42">
        <v>3</v>
      </c>
      <c r="BI42">
        <v>2</v>
      </c>
      <c r="BJ42" t="s">
        <v>5</v>
      </c>
      <c r="BM42">
        <v>500002</v>
      </c>
      <c r="BN42">
        <v>0</v>
      </c>
      <c r="BO42" t="s">
        <v>550</v>
      </c>
      <c r="BP42">
        <v>1</v>
      </c>
      <c r="BQ42">
        <v>8</v>
      </c>
      <c r="BR42">
        <v>0</v>
      </c>
      <c r="BS42">
        <v>4.94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0</v>
      </c>
      <c r="CA42">
        <v>0</v>
      </c>
      <c r="CF42">
        <v>0</v>
      </c>
      <c r="CG42">
        <v>0</v>
      </c>
      <c r="CM42">
        <v>0</v>
      </c>
      <c r="CO42">
        <v>0</v>
      </c>
      <c r="CP42">
        <f t="shared" si="14"/>
        <v>46466.87</v>
      </c>
      <c r="CQ42">
        <f t="shared" si="15"/>
        <v>2823.704</v>
      </c>
      <c r="CR42">
        <f t="shared" si="16"/>
        <v>0</v>
      </c>
      <c r="CS42">
        <f t="shared" si="17"/>
        <v>0</v>
      </c>
      <c r="CT42">
        <f t="shared" si="18"/>
        <v>0</v>
      </c>
      <c r="CU42">
        <f t="shared" si="19"/>
        <v>0</v>
      </c>
      <c r="CV42">
        <f t="shared" si="20"/>
        <v>0</v>
      </c>
      <c r="CW42">
        <f t="shared" si="21"/>
        <v>0</v>
      </c>
      <c r="CX42">
        <f t="shared" si="22"/>
        <v>0</v>
      </c>
      <c r="CY42">
        <f>(0)*BX42</f>
        <v>0</v>
      </c>
      <c r="CZ42">
        <f>(0)*AX42</f>
        <v>0</v>
      </c>
      <c r="DN42">
        <v>0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1009</v>
      </c>
      <c r="DV42" t="s">
        <v>1</v>
      </c>
      <c r="DW42" t="s">
        <v>1</v>
      </c>
      <c r="DX42">
        <v>1000</v>
      </c>
      <c r="EE42">
        <v>13259272</v>
      </c>
      <c r="EF42">
        <v>8</v>
      </c>
      <c r="EG42" t="s">
        <v>563</v>
      </c>
      <c r="EH42">
        <v>0</v>
      </c>
      <c r="EJ42">
        <v>2</v>
      </c>
      <c r="EK42">
        <v>500002</v>
      </c>
      <c r="EL42" t="s">
        <v>564</v>
      </c>
      <c r="EM42" t="s">
        <v>565</v>
      </c>
      <c r="EQ42">
        <v>0</v>
      </c>
      <c r="ER42">
        <v>571.6</v>
      </c>
      <c r="ES42">
        <v>571.6</v>
      </c>
      <c r="ET42">
        <v>0</v>
      </c>
      <c r="EU42">
        <v>0</v>
      </c>
      <c r="EV42">
        <v>0</v>
      </c>
      <c r="EW42">
        <v>0</v>
      </c>
      <c r="EX42">
        <v>0</v>
      </c>
      <c r="EZ42">
        <v>0</v>
      </c>
      <c r="FQ42">
        <v>0</v>
      </c>
      <c r="FR42">
        <f t="shared" si="23"/>
        <v>0</v>
      </c>
      <c r="FS42">
        <v>0</v>
      </c>
      <c r="FX42">
        <v>0</v>
      </c>
      <c r="FY42">
        <v>0</v>
      </c>
    </row>
    <row r="43" spans="1:181" ht="12.75">
      <c r="A43">
        <v>17</v>
      </c>
      <c r="B43">
        <v>1</v>
      </c>
      <c r="C43">
        <f>ROW(SmtRes!A63)</f>
        <v>63</v>
      </c>
      <c r="D43">
        <f>ROW(EtalonRes!A58)</f>
        <v>58</v>
      </c>
      <c r="E43" t="s">
        <v>58</v>
      </c>
      <c r="F43" t="s">
        <v>59</v>
      </c>
      <c r="G43" t="s">
        <v>60</v>
      </c>
      <c r="H43" t="s">
        <v>1</v>
      </c>
      <c r="I43">
        <f>ROUND((359.3+340)*0.02*1.65,2)-6.32</f>
        <v>16.759999999999998</v>
      </c>
      <c r="J43">
        <v>0</v>
      </c>
      <c r="O43">
        <f t="shared" si="2"/>
        <v>302.2</v>
      </c>
      <c r="P43">
        <f t="shared" si="3"/>
        <v>0</v>
      </c>
      <c r="Q43">
        <f t="shared" si="4"/>
        <v>302.2</v>
      </c>
      <c r="R43">
        <f t="shared" si="5"/>
        <v>32.29</v>
      </c>
      <c r="S43">
        <f t="shared" si="6"/>
        <v>0</v>
      </c>
      <c r="T43">
        <f t="shared" si="7"/>
        <v>0</v>
      </c>
      <c r="U43">
        <f t="shared" si="8"/>
        <v>0</v>
      </c>
      <c r="V43">
        <f t="shared" si="9"/>
        <v>0.48603999999999997</v>
      </c>
      <c r="W43">
        <f t="shared" si="10"/>
        <v>0</v>
      </c>
      <c r="X43">
        <f t="shared" si="11"/>
        <v>32.29</v>
      </c>
      <c r="Y43">
        <f t="shared" si="12"/>
        <v>16.47</v>
      </c>
      <c r="AA43">
        <v>0</v>
      </c>
      <c r="AB43">
        <f t="shared" si="13"/>
        <v>3.65</v>
      </c>
      <c r="AC43">
        <f aca="true" t="shared" si="28" ref="AC43:AF45">(ES43)</f>
        <v>0</v>
      </c>
      <c r="AD43">
        <f t="shared" si="28"/>
        <v>3.65</v>
      </c>
      <c r="AE43">
        <f t="shared" si="28"/>
        <v>0.39</v>
      </c>
      <c r="AF43">
        <f t="shared" si="28"/>
        <v>0</v>
      </c>
      <c r="AG43">
        <f>(AP43)</f>
        <v>0</v>
      </c>
      <c r="AH43">
        <f aca="true" t="shared" si="29" ref="AH43:AI45">(EW43)</f>
        <v>0</v>
      </c>
      <c r="AI43">
        <f t="shared" si="29"/>
        <v>0.029</v>
      </c>
      <c r="AJ43">
        <f>(AS43)</f>
        <v>0</v>
      </c>
      <c r="AK43">
        <v>3.65</v>
      </c>
      <c r="AL43">
        <v>0</v>
      </c>
      <c r="AM43">
        <v>3.65</v>
      </c>
      <c r="AN43">
        <v>0.39</v>
      </c>
      <c r="AO43">
        <v>0</v>
      </c>
      <c r="AP43">
        <v>0</v>
      </c>
      <c r="AQ43">
        <v>0</v>
      </c>
      <c r="AR43">
        <v>0.029</v>
      </c>
      <c r="AS43">
        <v>0</v>
      </c>
      <c r="AT43">
        <v>100</v>
      </c>
      <c r="AU43">
        <v>51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4.94</v>
      </c>
      <c r="BB43">
        <v>4.94</v>
      </c>
      <c r="BC43">
        <v>4.94</v>
      </c>
      <c r="BH43">
        <v>0</v>
      </c>
      <c r="BI43">
        <v>1</v>
      </c>
      <c r="BJ43" t="s">
        <v>61</v>
      </c>
      <c r="BM43">
        <v>700002</v>
      </c>
      <c r="BN43">
        <v>0</v>
      </c>
      <c r="BO43" t="s">
        <v>550</v>
      </c>
      <c r="BP43">
        <v>1</v>
      </c>
      <c r="BQ43">
        <v>10</v>
      </c>
      <c r="BR43">
        <v>0</v>
      </c>
      <c r="BS43">
        <v>4.94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100</v>
      </c>
      <c r="CA43">
        <v>60</v>
      </c>
      <c r="CF43">
        <v>0</v>
      </c>
      <c r="CG43">
        <v>0</v>
      </c>
      <c r="CM43">
        <v>0</v>
      </c>
      <c r="CO43">
        <v>0</v>
      </c>
      <c r="CP43">
        <f t="shared" si="14"/>
        <v>302.2</v>
      </c>
      <c r="CQ43">
        <f t="shared" si="15"/>
        <v>0</v>
      </c>
      <c r="CR43">
        <f t="shared" si="16"/>
        <v>18.031000000000002</v>
      </c>
      <c r="CS43">
        <f t="shared" si="17"/>
        <v>1.9266000000000003</v>
      </c>
      <c r="CT43">
        <f t="shared" si="18"/>
        <v>0</v>
      </c>
      <c r="CU43">
        <f t="shared" si="19"/>
        <v>0</v>
      </c>
      <c r="CV43">
        <f t="shared" si="20"/>
        <v>0</v>
      </c>
      <c r="CW43">
        <f t="shared" si="21"/>
        <v>0.029</v>
      </c>
      <c r="CX43">
        <f t="shared" si="22"/>
        <v>0</v>
      </c>
      <c r="CY43">
        <f>((S43+R43)*(ROUND(FX43,0)/100))</f>
        <v>32.29</v>
      </c>
      <c r="CZ43">
        <f>((S43+R43)*(ROUND(FY43,0)/100))</f>
        <v>16.4679</v>
      </c>
      <c r="DM43" t="s">
        <v>15</v>
      </c>
      <c r="DN43">
        <v>0</v>
      </c>
      <c r="DO43">
        <v>0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1009</v>
      </c>
      <c r="DV43" t="s">
        <v>1</v>
      </c>
      <c r="DW43" t="s">
        <v>1</v>
      </c>
      <c r="DX43">
        <v>1000</v>
      </c>
      <c r="EE43">
        <v>13259274</v>
      </c>
      <c r="EF43">
        <v>10</v>
      </c>
      <c r="EG43" t="s">
        <v>62</v>
      </c>
      <c r="EH43">
        <v>0</v>
      </c>
      <c r="EJ43">
        <v>1</v>
      </c>
      <c r="EK43">
        <v>700002</v>
      </c>
      <c r="EL43" t="s">
        <v>63</v>
      </c>
      <c r="EM43" t="s">
        <v>64</v>
      </c>
      <c r="EQ43">
        <v>0</v>
      </c>
      <c r="ER43">
        <v>3.65</v>
      </c>
      <c r="ES43">
        <v>0</v>
      </c>
      <c r="ET43">
        <v>3.65</v>
      </c>
      <c r="EU43">
        <v>0.39</v>
      </c>
      <c r="EV43">
        <v>0</v>
      </c>
      <c r="EW43">
        <v>0</v>
      </c>
      <c r="EX43">
        <v>0.029</v>
      </c>
      <c r="EY43">
        <v>0</v>
      </c>
      <c r="EZ43">
        <v>0</v>
      </c>
      <c r="FQ43">
        <v>0</v>
      </c>
      <c r="FR43">
        <f t="shared" si="23"/>
        <v>0</v>
      </c>
      <c r="FS43">
        <v>0</v>
      </c>
      <c r="FX43">
        <v>100</v>
      </c>
      <c r="FY43">
        <v>51</v>
      </c>
    </row>
    <row r="44" spans="1:181" ht="12.75">
      <c r="A44">
        <v>17</v>
      </c>
      <c r="B44">
        <v>1</v>
      </c>
      <c r="C44">
        <f>ROW(SmtRes!A65)</f>
        <v>65</v>
      </c>
      <c r="D44">
        <f>ROW(EtalonRes!A60)</f>
        <v>60</v>
      </c>
      <c r="E44" t="s">
        <v>65</v>
      </c>
      <c r="F44" t="s">
        <v>550</v>
      </c>
      <c r="G44" t="s">
        <v>66</v>
      </c>
      <c r="H44" t="s">
        <v>1</v>
      </c>
      <c r="I44">
        <f>Source!I43</f>
        <v>16.759999999999998</v>
      </c>
      <c r="J44">
        <v>0</v>
      </c>
      <c r="O44">
        <f t="shared" si="2"/>
        <v>861.89</v>
      </c>
      <c r="P44">
        <f t="shared" si="3"/>
        <v>0</v>
      </c>
      <c r="Q44">
        <f t="shared" si="4"/>
        <v>861.89</v>
      </c>
      <c r="R44">
        <f t="shared" si="5"/>
        <v>0</v>
      </c>
      <c r="S44">
        <f t="shared" si="6"/>
        <v>0</v>
      </c>
      <c r="T44">
        <f t="shared" si="7"/>
        <v>0</v>
      </c>
      <c r="U44">
        <f t="shared" si="8"/>
        <v>0</v>
      </c>
      <c r="V44">
        <f t="shared" si="9"/>
        <v>17.63152</v>
      </c>
      <c r="W44">
        <f t="shared" si="10"/>
        <v>0</v>
      </c>
      <c r="X44">
        <f t="shared" si="11"/>
        <v>0</v>
      </c>
      <c r="Y44">
        <f t="shared" si="12"/>
        <v>0</v>
      </c>
      <c r="AA44">
        <v>0</v>
      </c>
      <c r="AB44">
        <f t="shared" si="13"/>
        <v>10.41</v>
      </c>
      <c r="AC44">
        <f t="shared" si="28"/>
        <v>0</v>
      </c>
      <c r="AD44">
        <f t="shared" si="28"/>
        <v>10.41</v>
      </c>
      <c r="AE44">
        <f t="shared" si="28"/>
        <v>0</v>
      </c>
      <c r="AF44">
        <f t="shared" si="28"/>
        <v>0</v>
      </c>
      <c r="AG44">
        <f>(AP44)</f>
        <v>0</v>
      </c>
      <c r="AH44">
        <f t="shared" si="29"/>
        <v>0</v>
      </c>
      <c r="AI44">
        <f t="shared" si="29"/>
        <v>1.052</v>
      </c>
      <c r="AJ44">
        <f>(AS44)</f>
        <v>0</v>
      </c>
      <c r="AK44">
        <v>10.41</v>
      </c>
      <c r="AL44">
        <v>0</v>
      </c>
      <c r="AM44">
        <v>10.41</v>
      </c>
      <c r="AN44">
        <v>0</v>
      </c>
      <c r="AO44">
        <v>0</v>
      </c>
      <c r="AP44">
        <v>0</v>
      </c>
      <c r="AQ44">
        <v>0</v>
      </c>
      <c r="AR44">
        <v>1.052</v>
      </c>
      <c r="AS44">
        <v>0</v>
      </c>
      <c r="AT44">
        <v>0</v>
      </c>
      <c r="AU44">
        <v>0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4.94</v>
      </c>
      <c r="BB44">
        <v>4.94</v>
      </c>
      <c r="BC44">
        <v>4.94</v>
      </c>
      <c r="BH44">
        <v>0</v>
      </c>
      <c r="BI44">
        <v>1</v>
      </c>
      <c r="BJ44" t="s">
        <v>67</v>
      </c>
      <c r="BM44">
        <v>700001</v>
      </c>
      <c r="BN44">
        <v>0</v>
      </c>
      <c r="BO44" t="s">
        <v>550</v>
      </c>
      <c r="BP44">
        <v>1</v>
      </c>
      <c r="BQ44">
        <v>10</v>
      </c>
      <c r="BR44">
        <v>0</v>
      </c>
      <c r="BS44">
        <v>4.94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0</v>
      </c>
      <c r="CA44">
        <v>0</v>
      </c>
      <c r="CF44">
        <v>0</v>
      </c>
      <c r="CG44">
        <v>0</v>
      </c>
      <c r="CM44">
        <v>0</v>
      </c>
      <c r="CO44">
        <v>0</v>
      </c>
      <c r="CP44">
        <f t="shared" si="14"/>
        <v>861.89</v>
      </c>
      <c r="CQ44">
        <f t="shared" si="15"/>
        <v>0</v>
      </c>
      <c r="CR44">
        <f t="shared" si="16"/>
        <v>51.4254</v>
      </c>
      <c r="CS44">
        <f t="shared" si="17"/>
        <v>0</v>
      </c>
      <c r="CT44">
        <f t="shared" si="18"/>
        <v>0</v>
      </c>
      <c r="CU44">
        <f t="shared" si="19"/>
        <v>0</v>
      </c>
      <c r="CV44">
        <f t="shared" si="20"/>
        <v>0</v>
      </c>
      <c r="CW44">
        <f t="shared" si="21"/>
        <v>1.052</v>
      </c>
      <c r="CX44">
        <f t="shared" si="22"/>
        <v>0</v>
      </c>
      <c r="CY44">
        <f>((S44+R44)*(ROUND(FX44,0)/100))</f>
        <v>0</v>
      </c>
      <c r="CZ44">
        <f>((S44+R44)*(ROUND(FY44,0)/100))</f>
        <v>0</v>
      </c>
      <c r="DN44">
        <v>0</v>
      </c>
      <c r="DO44">
        <v>0</v>
      </c>
      <c r="DP44">
        <v>1</v>
      </c>
      <c r="DQ44">
        <v>1</v>
      </c>
      <c r="DR44">
        <v>1</v>
      </c>
      <c r="DS44">
        <v>1</v>
      </c>
      <c r="DT44">
        <v>1</v>
      </c>
      <c r="DU44">
        <v>1009</v>
      </c>
      <c r="DV44" t="s">
        <v>1</v>
      </c>
      <c r="DW44" t="s">
        <v>1</v>
      </c>
      <c r="DX44">
        <v>1000</v>
      </c>
      <c r="EE44">
        <v>13259276</v>
      </c>
      <c r="EF44">
        <v>10</v>
      </c>
      <c r="EG44" t="s">
        <v>62</v>
      </c>
      <c r="EH44">
        <v>0</v>
      </c>
      <c r="EJ44">
        <v>1</v>
      </c>
      <c r="EK44">
        <v>700001</v>
      </c>
      <c r="EL44" t="s">
        <v>68</v>
      </c>
      <c r="EM44" t="s">
        <v>64</v>
      </c>
      <c r="EQ44">
        <v>64</v>
      </c>
      <c r="ER44">
        <v>10.41</v>
      </c>
      <c r="ES44">
        <v>0</v>
      </c>
      <c r="ET44">
        <v>10.41</v>
      </c>
      <c r="EU44">
        <v>0</v>
      </c>
      <c r="EV44">
        <v>0</v>
      </c>
      <c r="EW44">
        <v>0</v>
      </c>
      <c r="EX44">
        <v>1.052</v>
      </c>
      <c r="EY44">
        <v>0</v>
      </c>
      <c r="EZ44">
        <v>0</v>
      </c>
      <c r="FQ44">
        <v>0</v>
      </c>
      <c r="FR44">
        <f t="shared" si="23"/>
        <v>0</v>
      </c>
      <c r="FS44">
        <v>0</v>
      </c>
      <c r="FX44">
        <v>0</v>
      </c>
      <c r="FY44">
        <v>0</v>
      </c>
    </row>
    <row r="45" spans="1:181" ht="12.75">
      <c r="A45">
        <v>17</v>
      </c>
      <c r="B45">
        <v>1</v>
      </c>
      <c r="C45">
        <f>ROW(SmtRes!A71)</f>
        <v>71</v>
      </c>
      <c r="D45">
        <f>ROW(EtalonRes!A66)</f>
        <v>66</v>
      </c>
      <c r="E45" t="s">
        <v>69</v>
      </c>
      <c r="F45" t="s">
        <v>70</v>
      </c>
      <c r="G45" t="s">
        <v>71</v>
      </c>
      <c r="H45" t="s">
        <v>72</v>
      </c>
      <c r="I45">
        <f>1*0</f>
        <v>0</v>
      </c>
      <c r="J45">
        <v>0</v>
      </c>
      <c r="O45">
        <f t="shared" si="2"/>
        <v>0</v>
      </c>
      <c r="P45">
        <f t="shared" si="3"/>
        <v>0</v>
      </c>
      <c r="Q45">
        <f t="shared" si="4"/>
        <v>0</v>
      </c>
      <c r="R45">
        <f t="shared" si="5"/>
        <v>0</v>
      </c>
      <c r="S45">
        <f t="shared" si="6"/>
        <v>0</v>
      </c>
      <c r="T45">
        <f t="shared" si="7"/>
        <v>0</v>
      </c>
      <c r="U45">
        <f t="shared" si="8"/>
        <v>0</v>
      </c>
      <c r="V45">
        <f t="shared" si="9"/>
        <v>0</v>
      </c>
      <c r="W45">
        <f t="shared" si="10"/>
        <v>0</v>
      </c>
      <c r="X45">
        <f t="shared" si="11"/>
        <v>0</v>
      </c>
      <c r="Y45">
        <f t="shared" si="12"/>
        <v>0</v>
      </c>
      <c r="AA45">
        <v>0</v>
      </c>
      <c r="AB45">
        <f t="shared" si="13"/>
        <v>864.25</v>
      </c>
      <c r="AC45">
        <f t="shared" si="28"/>
        <v>816.89</v>
      </c>
      <c r="AD45">
        <f t="shared" si="28"/>
        <v>8.72</v>
      </c>
      <c r="AE45">
        <f t="shared" si="28"/>
        <v>0</v>
      </c>
      <c r="AF45">
        <f t="shared" si="28"/>
        <v>38.64</v>
      </c>
      <c r="AG45">
        <f>(AP45)</f>
        <v>0</v>
      </c>
      <c r="AH45">
        <f t="shared" si="29"/>
        <v>4.53</v>
      </c>
      <c r="AI45">
        <f t="shared" si="29"/>
        <v>0</v>
      </c>
      <c r="AJ45">
        <f>(AS45)</f>
        <v>0</v>
      </c>
      <c r="AK45">
        <v>864.25</v>
      </c>
      <c r="AL45">
        <v>816.89</v>
      </c>
      <c r="AM45">
        <v>8.72</v>
      </c>
      <c r="AN45">
        <v>0</v>
      </c>
      <c r="AO45">
        <v>38.64</v>
      </c>
      <c r="AP45">
        <v>0</v>
      </c>
      <c r="AQ45">
        <v>4.53</v>
      </c>
      <c r="AR45">
        <v>0</v>
      </c>
      <c r="AS45">
        <v>0</v>
      </c>
      <c r="AT45">
        <v>108</v>
      </c>
      <c r="AU45">
        <v>68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4.94</v>
      </c>
      <c r="BB45">
        <v>4.94</v>
      </c>
      <c r="BC45">
        <v>4.94</v>
      </c>
      <c r="BH45">
        <v>0</v>
      </c>
      <c r="BI45">
        <v>1</v>
      </c>
      <c r="BJ45" t="s">
        <v>73</v>
      </c>
      <c r="BM45">
        <v>66008</v>
      </c>
      <c r="BN45">
        <v>0</v>
      </c>
      <c r="BO45" t="s">
        <v>70</v>
      </c>
      <c r="BP45">
        <v>1</v>
      </c>
      <c r="BQ45">
        <v>6</v>
      </c>
      <c r="BR45">
        <v>0</v>
      </c>
      <c r="BS45">
        <v>4.94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108</v>
      </c>
      <c r="CA45">
        <v>68</v>
      </c>
      <c r="CF45">
        <v>0</v>
      </c>
      <c r="CG45">
        <v>0</v>
      </c>
      <c r="CM45">
        <v>0</v>
      </c>
      <c r="CO45">
        <v>0</v>
      </c>
      <c r="CP45">
        <f t="shared" si="14"/>
        <v>0</v>
      </c>
      <c r="CQ45">
        <f t="shared" si="15"/>
        <v>4035.4366000000005</v>
      </c>
      <c r="CR45">
        <f t="shared" si="16"/>
        <v>43.076800000000006</v>
      </c>
      <c r="CS45">
        <f t="shared" si="17"/>
        <v>0</v>
      </c>
      <c r="CT45">
        <f t="shared" si="18"/>
        <v>190.88160000000002</v>
      </c>
      <c r="CU45">
        <f t="shared" si="19"/>
        <v>0</v>
      </c>
      <c r="CV45">
        <f t="shared" si="20"/>
        <v>4.53</v>
      </c>
      <c r="CW45">
        <f t="shared" si="21"/>
        <v>0</v>
      </c>
      <c r="CX45">
        <f t="shared" si="22"/>
        <v>0</v>
      </c>
      <c r="CY45">
        <f>((S45+R45)*(ROUND((FX45*IF((0=1),0.94,1)*IF((0=1),1,1)),0)/100))</f>
        <v>0</v>
      </c>
      <c r="CZ45">
        <f>((S45+R45)*(ROUND((FY45*0.85),0)/100))</f>
        <v>0</v>
      </c>
      <c r="DM45" t="s">
        <v>35</v>
      </c>
      <c r="DN45">
        <v>0</v>
      </c>
      <c r="DO45">
        <v>0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1010</v>
      </c>
      <c r="DV45" t="s">
        <v>72</v>
      </c>
      <c r="DW45" t="s">
        <v>74</v>
      </c>
      <c r="DX45">
        <v>1</v>
      </c>
      <c r="EE45">
        <v>13259450</v>
      </c>
      <c r="EF45">
        <v>6</v>
      </c>
      <c r="EG45" t="s">
        <v>573</v>
      </c>
      <c r="EH45">
        <v>0</v>
      </c>
      <c r="EJ45">
        <v>1</v>
      </c>
      <c r="EK45">
        <v>66008</v>
      </c>
      <c r="EL45" t="s">
        <v>75</v>
      </c>
      <c r="EM45" t="s">
        <v>76</v>
      </c>
      <c r="EQ45">
        <v>0</v>
      </c>
      <c r="ER45">
        <v>864.25</v>
      </c>
      <c r="ES45">
        <v>816.89</v>
      </c>
      <c r="ET45">
        <v>8.72</v>
      </c>
      <c r="EU45">
        <v>0</v>
      </c>
      <c r="EV45">
        <v>38.64</v>
      </c>
      <c r="EW45">
        <v>4.53</v>
      </c>
      <c r="EX45">
        <v>0</v>
      </c>
      <c r="EY45">
        <v>0</v>
      </c>
      <c r="EZ45">
        <v>0</v>
      </c>
      <c r="FQ45">
        <v>0</v>
      </c>
      <c r="FR45">
        <f t="shared" si="23"/>
        <v>0</v>
      </c>
      <c r="FS45">
        <v>0</v>
      </c>
      <c r="FW45" t="s">
        <v>557</v>
      </c>
      <c r="FX45">
        <v>108</v>
      </c>
      <c r="FY45">
        <v>80</v>
      </c>
    </row>
    <row r="46" spans="1:181" ht="12.75">
      <c r="A46">
        <v>18</v>
      </c>
      <c r="B46">
        <v>1</v>
      </c>
      <c r="C46">
        <v>68</v>
      </c>
      <c r="E46" t="s">
        <v>77</v>
      </c>
      <c r="F46" t="s">
        <v>78</v>
      </c>
      <c r="G46" t="s">
        <v>79</v>
      </c>
      <c r="H46" t="s">
        <v>72</v>
      </c>
      <c r="I46">
        <f>I45*J46</f>
        <v>0</v>
      </c>
      <c r="J46">
        <v>-1</v>
      </c>
      <c r="O46">
        <f t="shared" si="2"/>
        <v>0</v>
      </c>
      <c r="P46">
        <f t="shared" si="3"/>
        <v>0</v>
      </c>
      <c r="Q46">
        <f t="shared" si="4"/>
        <v>0</v>
      </c>
      <c r="R46">
        <f t="shared" si="5"/>
        <v>0</v>
      </c>
      <c r="S46">
        <f t="shared" si="6"/>
        <v>0</v>
      </c>
      <c r="T46">
        <f t="shared" si="7"/>
        <v>0</v>
      </c>
      <c r="U46">
        <f t="shared" si="8"/>
        <v>0</v>
      </c>
      <c r="V46">
        <f t="shared" si="9"/>
        <v>0</v>
      </c>
      <c r="W46">
        <f t="shared" si="10"/>
        <v>0</v>
      </c>
      <c r="X46">
        <f t="shared" si="11"/>
        <v>0</v>
      </c>
      <c r="Y46">
        <f t="shared" si="12"/>
        <v>0</v>
      </c>
      <c r="AA46">
        <v>0</v>
      </c>
      <c r="AB46">
        <f t="shared" si="13"/>
        <v>569.52</v>
      </c>
      <c r="AC46">
        <f aca="true" t="shared" si="30" ref="AC46:AJ46">AL46</f>
        <v>569.52</v>
      </c>
      <c r="AD46">
        <f t="shared" si="30"/>
        <v>0</v>
      </c>
      <c r="AE46">
        <f t="shared" si="30"/>
        <v>0</v>
      </c>
      <c r="AF46">
        <f t="shared" si="30"/>
        <v>0</v>
      </c>
      <c r="AG46">
        <f t="shared" si="30"/>
        <v>0</v>
      </c>
      <c r="AH46">
        <f t="shared" si="30"/>
        <v>0</v>
      </c>
      <c r="AI46">
        <f t="shared" si="30"/>
        <v>0</v>
      </c>
      <c r="AJ46">
        <f t="shared" si="30"/>
        <v>0</v>
      </c>
      <c r="AK46">
        <v>569.52</v>
      </c>
      <c r="AL46">
        <v>569.52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4.94</v>
      </c>
      <c r="BB46">
        <v>4.94</v>
      </c>
      <c r="BC46">
        <v>4.94</v>
      </c>
      <c r="BH46">
        <v>3</v>
      </c>
      <c r="BI46">
        <v>1</v>
      </c>
      <c r="BJ46" t="s">
        <v>80</v>
      </c>
      <c r="BM46">
        <v>500001</v>
      </c>
      <c r="BN46">
        <v>0</v>
      </c>
      <c r="BO46" t="s">
        <v>78</v>
      </c>
      <c r="BP46">
        <v>1</v>
      </c>
      <c r="BQ46">
        <v>8</v>
      </c>
      <c r="BR46">
        <v>0</v>
      </c>
      <c r="BS46">
        <v>4.94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0</v>
      </c>
      <c r="CA46">
        <v>0</v>
      </c>
      <c r="CF46">
        <v>0</v>
      </c>
      <c r="CG46">
        <v>0</v>
      </c>
      <c r="CM46">
        <v>0</v>
      </c>
      <c r="CO46">
        <v>0</v>
      </c>
      <c r="CP46">
        <f t="shared" si="14"/>
        <v>0</v>
      </c>
      <c r="CQ46">
        <f t="shared" si="15"/>
        <v>2813.4288</v>
      </c>
      <c r="CR46">
        <f t="shared" si="16"/>
        <v>0</v>
      </c>
      <c r="CS46">
        <f t="shared" si="17"/>
        <v>0</v>
      </c>
      <c r="CT46">
        <f t="shared" si="18"/>
        <v>0</v>
      </c>
      <c r="CU46">
        <f t="shared" si="19"/>
        <v>0</v>
      </c>
      <c r="CV46">
        <f t="shared" si="20"/>
        <v>0</v>
      </c>
      <c r="CW46">
        <f t="shared" si="21"/>
        <v>0</v>
      </c>
      <c r="CX46">
        <f t="shared" si="22"/>
        <v>0</v>
      </c>
      <c r="CY46">
        <f>(0)*BX46</f>
        <v>0</v>
      </c>
      <c r="CZ46">
        <f>(0)*AX46</f>
        <v>0</v>
      </c>
      <c r="DN46">
        <v>0</v>
      </c>
      <c r="DO46">
        <v>0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1010</v>
      </c>
      <c r="DV46" t="s">
        <v>72</v>
      </c>
      <c r="DW46" t="s">
        <v>72</v>
      </c>
      <c r="DX46">
        <v>1</v>
      </c>
      <c r="EE46">
        <v>13259271</v>
      </c>
      <c r="EF46">
        <v>8</v>
      </c>
      <c r="EG46" t="s">
        <v>563</v>
      </c>
      <c r="EH46">
        <v>0</v>
      </c>
      <c r="EJ46">
        <v>1</v>
      </c>
      <c r="EK46">
        <v>500001</v>
      </c>
      <c r="EL46" t="s">
        <v>16</v>
      </c>
      <c r="EM46" t="s">
        <v>565</v>
      </c>
      <c r="EQ46">
        <v>0</v>
      </c>
      <c r="ER46">
        <v>569.52</v>
      </c>
      <c r="ES46">
        <v>569.52</v>
      </c>
      <c r="ET46">
        <v>0</v>
      </c>
      <c r="EU46">
        <v>0</v>
      </c>
      <c r="EV46">
        <v>0</v>
      </c>
      <c r="EW46">
        <v>0</v>
      </c>
      <c r="EX46">
        <v>0</v>
      </c>
      <c r="EZ46">
        <v>0</v>
      </c>
      <c r="FQ46">
        <v>0</v>
      </c>
      <c r="FR46">
        <f t="shared" si="23"/>
        <v>0</v>
      </c>
      <c r="FS46">
        <v>0</v>
      </c>
      <c r="FX46">
        <v>0</v>
      </c>
      <c r="FY46">
        <v>0</v>
      </c>
    </row>
    <row r="48" spans="1:43" ht="12.75">
      <c r="A48" s="2">
        <v>51</v>
      </c>
      <c r="B48" s="2">
        <f>B20</f>
        <v>1</v>
      </c>
      <c r="C48" s="2">
        <f>A20</f>
        <v>3</v>
      </c>
      <c r="D48" s="2">
        <f>ROW(A20)</f>
        <v>20</v>
      </c>
      <c r="E48" s="2"/>
      <c r="F48" s="2" t="str">
        <f>IF(F20&lt;&gt;"",F20,"")</f>
        <v>Новая локальная смета</v>
      </c>
      <c r="G48" s="2" t="str">
        <f>IF(G20&lt;&gt;"",G20,"")</f>
        <v>Капитальный ремонт и ремонт дворовых территорий многоквартирных домов, проездов к дворовым территориям многоквартирных домов - ул. Колесанова, д. 4</v>
      </c>
      <c r="H48" s="2"/>
      <c r="I48" s="2"/>
      <c r="J48" s="2"/>
      <c r="K48" s="2"/>
      <c r="L48" s="2"/>
      <c r="M48" s="2"/>
      <c r="N48" s="2"/>
      <c r="O48" s="2">
        <f aca="true" t="shared" si="31" ref="O48:Y48">ROUND(AB48,2)</f>
        <v>404524.97</v>
      </c>
      <c r="P48" s="2">
        <f t="shared" si="31"/>
        <v>371473.05</v>
      </c>
      <c r="Q48" s="2">
        <f t="shared" si="31"/>
        <v>26356.95</v>
      </c>
      <c r="R48" s="2">
        <f t="shared" si="31"/>
        <v>2344.97</v>
      </c>
      <c r="S48" s="2">
        <f t="shared" si="31"/>
        <v>6694.97</v>
      </c>
      <c r="T48" s="2">
        <f t="shared" si="31"/>
        <v>0</v>
      </c>
      <c r="U48" s="2">
        <f t="shared" si="31"/>
        <v>146.71</v>
      </c>
      <c r="V48" s="2">
        <f t="shared" si="31"/>
        <v>52.51</v>
      </c>
      <c r="W48" s="2">
        <f t="shared" si="31"/>
        <v>0</v>
      </c>
      <c r="X48" s="2">
        <f t="shared" si="31"/>
        <v>12223.14</v>
      </c>
      <c r="Y48" s="2">
        <f t="shared" si="31"/>
        <v>6981.08</v>
      </c>
      <c r="Z48" s="2"/>
      <c r="AA48" s="2"/>
      <c r="AB48" s="2">
        <f>ROUND(SUMIF(AA24:AA46,"=0",O24:O46),2)</f>
        <v>404524.97</v>
      </c>
      <c r="AC48" s="2">
        <f>ROUND(SUMIF(AA24:AA46,"=0",P24:P46),2)</f>
        <v>371473.05</v>
      </c>
      <c r="AD48" s="2">
        <f>ROUND(SUMIF(AA24:AA46,"=0",Q24:Q46),2)</f>
        <v>26356.95</v>
      </c>
      <c r="AE48" s="2">
        <f>ROUND(SUMIF(AA24:AA46,"=0",R24:R46),2)</f>
        <v>2344.97</v>
      </c>
      <c r="AF48" s="2">
        <f>ROUND(SUMIF(AA24:AA46,"=0",S24:S46),2)</f>
        <v>6694.97</v>
      </c>
      <c r="AG48" s="2">
        <f>ROUND(SUMIF(AA24:AA46,"=0",T24:T46),2)</f>
        <v>0</v>
      </c>
      <c r="AH48" s="2">
        <f>ROUND(SUMIF(AA24:AA46,"=0",U24:U46),2)</f>
        <v>146.71</v>
      </c>
      <c r="AI48" s="2">
        <f>ROUND(SUMIF(AA24:AA46,"=0",V24:V46),2)</f>
        <v>52.51</v>
      </c>
      <c r="AJ48" s="2">
        <f>ROUND(SUMIF(AA24:AA46,"=0",W24:W46),2)</f>
        <v>0</v>
      </c>
      <c r="AK48" s="2">
        <f>ROUND(SUMIF(AA24:AA46,"=0",X24:X46),2)</f>
        <v>12223.14</v>
      </c>
      <c r="AL48" s="2">
        <f>ROUND(SUMIF(AA24:AA46,"=0",Y24:Y46),2)</f>
        <v>6981.08</v>
      </c>
      <c r="AM48" s="2"/>
      <c r="AN48" s="2">
        <f>ROUND(AO48,2)</f>
        <v>0</v>
      </c>
      <c r="AO48" s="2">
        <f>ROUND(SUMIF(AA24:AA46,"=0",FQ24:FQ46),2)</f>
        <v>0</v>
      </c>
      <c r="AP48" s="2">
        <f>ROUND(AQ48,2)</f>
        <v>0</v>
      </c>
      <c r="AQ48" s="2">
        <f>ROUND(SUM(FR24:FR46),2)</f>
        <v>0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201</v>
      </c>
      <c r="F50" s="3">
        <f>Source!O48</f>
        <v>404524.97</v>
      </c>
      <c r="G50" s="3" t="s">
        <v>81</v>
      </c>
      <c r="H50" s="3" t="s">
        <v>82</v>
      </c>
      <c r="I50" s="3"/>
      <c r="J50" s="3"/>
      <c r="K50" s="3">
        <v>201</v>
      </c>
      <c r="L50" s="3">
        <v>1</v>
      </c>
      <c r="M50" s="3">
        <v>3</v>
      </c>
      <c r="N50" s="3" t="s">
        <v>534</v>
      </c>
    </row>
    <row r="51" spans="1:14" ht="12.75">
      <c r="A51" s="3">
        <v>50</v>
      </c>
      <c r="B51" s="3">
        <v>0</v>
      </c>
      <c r="C51" s="3">
        <v>0</v>
      </c>
      <c r="D51" s="3">
        <v>1</v>
      </c>
      <c r="E51" s="3">
        <v>202</v>
      </c>
      <c r="F51" s="3">
        <f>Source!P48</f>
        <v>371473.05</v>
      </c>
      <c r="G51" s="3" t="s">
        <v>83</v>
      </c>
      <c r="H51" s="3" t="s">
        <v>84</v>
      </c>
      <c r="I51" s="3"/>
      <c r="J51" s="3"/>
      <c r="K51" s="3">
        <v>202</v>
      </c>
      <c r="L51" s="3">
        <v>2</v>
      </c>
      <c r="M51" s="3">
        <v>3</v>
      </c>
      <c r="N51" s="3" t="s">
        <v>534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222</v>
      </c>
      <c r="F52" s="3">
        <f>Source!AN48</f>
        <v>0</v>
      </c>
      <c r="G52" s="3" t="s">
        <v>85</v>
      </c>
      <c r="H52" s="3" t="s">
        <v>86</v>
      </c>
      <c r="I52" s="3"/>
      <c r="J52" s="3"/>
      <c r="K52" s="3">
        <v>222</v>
      </c>
      <c r="L52" s="3">
        <v>3</v>
      </c>
      <c r="M52" s="3">
        <v>3</v>
      </c>
      <c r="N52" s="3" t="s">
        <v>534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216</v>
      </c>
      <c r="F53" s="3">
        <f>Source!AP48</f>
        <v>0</v>
      </c>
      <c r="G53" s="3" t="s">
        <v>87</v>
      </c>
      <c r="H53" s="3" t="s">
        <v>88</v>
      </c>
      <c r="I53" s="3"/>
      <c r="J53" s="3"/>
      <c r="K53" s="3">
        <v>216</v>
      </c>
      <c r="L53" s="3">
        <v>4</v>
      </c>
      <c r="M53" s="3">
        <v>3</v>
      </c>
      <c r="N53" s="3" t="s">
        <v>534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203</v>
      </c>
      <c r="F54" s="3">
        <f>Source!Q48</f>
        <v>26356.95</v>
      </c>
      <c r="G54" s="3" t="s">
        <v>89</v>
      </c>
      <c r="H54" s="3" t="s">
        <v>90</v>
      </c>
      <c r="I54" s="3"/>
      <c r="J54" s="3"/>
      <c r="K54" s="3">
        <v>203</v>
      </c>
      <c r="L54" s="3">
        <v>5</v>
      </c>
      <c r="M54" s="3">
        <v>3</v>
      </c>
      <c r="N54" s="3" t="s">
        <v>534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204</v>
      </c>
      <c r="F55" s="3">
        <f>Source!R48</f>
        <v>2344.97</v>
      </c>
      <c r="G55" s="3" t="s">
        <v>91</v>
      </c>
      <c r="H55" s="3" t="s">
        <v>92</v>
      </c>
      <c r="I55" s="3"/>
      <c r="J55" s="3"/>
      <c r="K55" s="3">
        <v>204</v>
      </c>
      <c r="L55" s="3">
        <v>6</v>
      </c>
      <c r="M55" s="3">
        <v>3</v>
      </c>
      <c r="N55" s="3" t="s">
        <v>534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205</v>
      </c>
      <c r="F56" s="3">
        <f>Source!S48</f>
        <v>6694.97</v>
      </c>
      <c r="G56" s="3" t="s">
        <v>93</v>
      </c>
      <c r="H56" s="3" t="s">
        <v>94</v>
      </c>
      <c r="I56" s="3"/>
      <c r="J56" s="3"/>
      <c r="K56" s="3">
        <v>205</v>
      </c>
      <c r="L56" s="3">
        <v>7</v>
      </c>
      <c r="M56" s="3">
        <v>3</v>
      </c>
      <c r="N56" s="3" t="s">
        <v>534</v>
      </c>
    </row>
    <row r="57" spans="1:14" ht="12.75">
      <c r="A57" s="3">
        <v>50</v>
      </c>
      <c r="B57" s="3">
        <v>0</v>
      </c>
      <c r="C57" s="3">
        <v>0</v>
      </c>
      <c r="D57" s="3">
        <v>1</v>
      </c>
      <c r="E57" s="3">
        <v>206</v>
      </c>
      <c r="F57" s="3">
        <f>Source!T48</f>
        <v>0</v>
      </c>
      <c r="G57" s="3" t="s">
        <v>95</v>
      </c>
      <c r="H57" s="3" t="s">
        <v>96</v>
      </c>
      <c r="I57" s="3"/>
      <c r="J57" s="3"/>
      <c r="K57" s="3">
        <v>206</v>
      </c>
      <c r="L57" s="3">
        <v>8</v>
      </c>
      <c r="M57" s="3">
        <v>3</v>
      </c>
      <c r="N57" s="3" t="s">
        <v>534</v>
      </c>
    </row>
    <row r="58" spans="1:14" ht="12.75">
      <c r="A58" s="3">
        <v>50</v>
      </c>
      <c r="B58" s="3">
        <v>0</v>
      </c>
      <c r="C58" s="3">
        <v>0</v>
      </c>
      <c r="D58" s="3">
        <v>1</v>
      </c>
      <c r="E58" s="3">
        <v>207</v>
      </c>
      <c r="F58" s="3">
        <f>Source!U48</f>
        <v>146.71</v>
      </c>
      <c r="G58" s="3" t="s">
        <v>97</v>
      </c>
      <c r="H58" s="3" t="s">
        <v>98</v>
      </c>
      <c r="I58" s="3"/>
      <c r="J58" s="3"/>
      <c r="K58" s="3">
        <v>207</v>
      </c>
      <c r="L58" s="3">
        <v>9</v>
      </c>
      <c r="M58" s="3">
        <v>3</v>
      </c>
      <c r="N58" s="3" t="s">
        <v>534</v>
      </c>
    </row>
    <row r="59" spans="1:14" ht="12.75">
      <c r="A59" s="3">
        <v>50</v>
      </c>
      <c r="B59" s="3">
        <v>0</v>
      </c>
      <c r="C59" s="3">
        <v>0</v>
      </c>
      <c r="D59" s="3">
        <v>1</v>
      </c>
      <c r="E59" s="3">
        <v>208</v>
      </c>
      <c r="F59" s="3">
        <f>Source!V48</f>
        <v>52.51</v>
      </c>
      <c r="G59" s="3" t="s">
        <v>99</v>
      </c>
      <c r="H59" s="3" t="s">
        <v>100</v>
      </c>
      <c r="I59" s="3"/>
      <c r="J59" s="3"/>
      <c r="K59" s="3">
        <v>208</v>
      </c>
      <c r="L59" s="3">
        <v>10</v>
      </c>
      <c r="M59" s="3">
        <v>3</v>
      </c>
      <c r="N59" s="3" t="s">
        <v>534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209</v>
      </c>
      <c r="F60" s="3">
        <f>Source!W48</f>
        <v>0</v>
      </c>
      <c r="G60" s="3" t="s">
        <v>101</v>
      </c>
      <c r="H60" s="3" t="s">
        <v>102</v>
      </c>
      <c r="I60" s="3"/>
      <c r="J60" s="3"/>
      <c r="K60" s="3">
        <v>209</v>
      </c>
      <c r="L60" s="3">
        <v>11</v>
      </c>
      <c r="M60" s="3">
        <v>3</v>
      </c>
      <c r="N60" s="3" t="s">
        <v>534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210</v>
      </c>
      <c r="F61" s="3">
        <f>Source!X48</f>
        <v>12223.14</v>
      </c>
      <c r="G61" s="3" t="s">
        <v>103</v>
      </c>
      <c r="H61" s="3" t="s">
        <v>104</v>
      </c>
      <c r="I61" s="3"/>
      <c r="J61" s="3"/>
      <c r="K61" s="3">
        <v>210</v>
      </c>
      <c r="L61" s="3">
        <v>12</v>
      </c>
      <c r="M61" s="3">
        <v>3</v>
      </c>
      <c r="N61" s="3" t="s">
        <v>534</v>
      </c>
    </row>
    <row r="62" spans="1:14" ht="12.75">
      <c r="A62" s="3">
        <v>50</v>
      </c>
      <c r="B62" s="3">
        <v>0</v>
      </c>
      <c r="C62" s="3">
        <v>0</v>
      </c>
      <c r="D62" s="3">
        <v>1</v>
      </c>
      <c r="E62" s="3">
        <v>211</v>
      </c>
      <c r="F62" s="3">
        <f>Source!Y48</f>
        <v>6981.08</v>
      </c>
      <c r="G62" s="3" t="s">
        <v>105</v>
      </c>
      <c r="H62" s="3" t="s">
        <v>106</v>
      </c>
      <c r="I62" s="3"/>
      <c r="J62" s="3"/>
      <c r="K62" s="3">
        <v>211</v>
      </c>
      <c r="L62" s="3">
        <v>13</v>
      </c>
      <c r="M62" s="3">
        <v>3</v>
      </c>
      <c r="N62" s="3" t="s">
        <v>534</v>
      </c>
    </row>
    <row r="63" spans="1:14" ht="12.75">
      <c r="A63" s="3">
        <v>50</v>
      </c>
      <c r="B63" s="3">
        <v>0</v>
      </c>
      <c r="C63" s="3">
        <v>0</v>
      </c>
      <c r="D63" s="3">
        <v>2</v>
      </c>
      <c r="E63" s="3">
        <v>0</v>
      </c>
      <c r="F63" s="3">
        <f>ROUND(1,2)</f>
        <v>1</v>
      </c>
      <c r="G63" s="3" t="s">
        <v>107</v>
      </c>
      <c r="H63" s="3" t="s">
        <v>108</v>
      </c>
      <c r="I63" s="3"/>
      <c r="J63" s="3"/>
      <c r="K63" s="3">
        <v>212</v>
      </c>
      <c r="L63" s="3">
        <v>14</v>
      </c>
      <c r="M63" s="3">
        <v>3</v>
      </c>
      <c r="N63" s="3" t="s">
        <v>109</v>
      </c>
    </row>
    <row r="64" spans="1:14" ht="12.75">
      <c r="A64" s="3">
        <v>50</v>
      </c>
      <c r="B64" s="3">
        <v>1</v>
      </c>
      <c r="C64" s="3">
        <v>0</v>
      </c>
      <c r="D64" s="3">
        <v>2</v>
      </c>
      <c r="E64" s="3">
        <v>0</v>
      </c>
      <c r="F64" s="3">
        <f>ROUND(Source!F56*Source!F63,2)</f>
        <v>6694.97</v>
      </c>
      <c r="G64" s="3" t="s">
        <v>110</v>
      </c>
      <c r="H64" s="3" t="s">
        <v>111</v>
      </c>
      <c r="I64" s="3"/>
      <c r="J64" s="3"/>
      <c r="K64" s="3">
        <v>212</v>
      </c>
      <c r="L64" s="3">
        <v>15</v>
      </c>
      <c r="M64" s="3">
        <v>0</v>
      </c>
      <c r="N64" s="3" t="s">
        <v>534</v>
      </c>
    </row>
    <row r="65" spans="1:14" ht="12.75">
      <c r="A65" s="3">
        <v>50</v>
      </c>
      <c r="B65" s="3">
        <v>1</v>
      </c>
      <c r="C65" s="3">
        <v>0</v>
      </c>
      <c r="D65" s="3">
        <v>2</v>
      </c>
      <c r="E65" s="3">
        <v>0</v>
      </c>
      <c r="F65" s="3">
        <f>ROUND(Source!F55*Source!F63,2)</f>
        <v>2344.97</v>
      </c>
      <c r="G65" s="3" t="s">
        <v>112</v>
      </c>
      <c r="H65" s="3" t="s">
        <v>113</v>
      </c>
      <c r="I65" s="3"/>
      <c r="J65" s="3"/>
      <c r="K65" s="3">
        <v>212</v>
      </c>
      <c r="L65" s="3">
        <v>16</v>
      </c>
      <c r="M65" s="3">
        <v>0</v>
      </c>
      <c r="N65" s="3" t="s">
        <v>534</v>
      </c>
    </row>
    <row r="66" spans="1:14" ht="12.75">
      <c r="A66" s="3">
        <v>50</v>
      </c>
      <c r="B66" s="3">
        <v>0</v>
      </c>
      <c r="C66" s="3">
        <v>0</v>
      </c>
      <c r="D66" s="3">
        <v>2</v>
      </c>
      <c r="E66" s="3">
        <v>0</v>
      </c>
      <c r="F66" s="3">
        <f>ROUND(Source!F64+Source!F65,2)</f>
        <v>9039.94</v>
      </c>
      <c r="G66" s="3" t="s">
        <v>114</v>
      </c>
      <c r="H66" s="3" t="s">
        <v>115</v>
      </c>
      <c r="I66" s="3"/>
      <c r="J66" s="3"/>
      <c r="K66" s="3">
        <v>212</v>
      </c>
      <c r="L66" s="3">
        <v>17</v>
      </c>
      <c r="M66" s="3">
        <v>3</v>
      </c>
      <c r="N66" s="3" t="s">
        <v>534</v>
      </c>
    </row>
    <row r="67" spans="1:14" ht="12.75">
      <c r="A67" s="3">
        <v>50</v>
      </c>
      <c r="B67" s="3">
        <v>0</v>
      </c>
      <c r="C67" s="3">
        <v>0</v>
      </c>
      <c r="D67" s="3">
        <v>2</v>
      </c>
      <c r="E67" s="3">
        <v>0</v>
      </c>
      <c r="F67" s="3">
        <f>ROUND(1,2)</f>
        <v>1</v>
      </c>
      <c r="G67" s="3" t="s">
        <v>116</v>
      </c>
      <c r="H67" s="3" t="s">
        <v>117</v>
      </c>
      <c r="I67" s="3"/>
      <c r="J67" s="3"/>
      <c r="K67" s="3">
        <v>212</v>
      </c>
      <c r="L67" s="3">
        <v>18</v>
      </c>
      <c r="M67" s="3">
        <v>3</v>
      </c>
      <c r="N67" s="3" t="s">
        <v>118</v>
      </c>
    </row>
    <row r="68" spans="1:14" ht="12.75">
      <c r="A68" s="3">
        <v>50</v>
      </c>
      <c r="B68" s="3">
        <v>1</v>
      </c>
      <c r="C68" s="3">
        <v>0</v>
      </c>
      <c r="D68" s="3">
        <v>2</v>
      </c>
      <c r="E68" s="3">
        <v>0</v>
      </c>
      <c r="F68" s="3">
        <f>ROUND((Source!F54-Source!F69)*Source!F67,2)</f>
        <v>25192.86</v>
      </c>
      <c r="G68" s="3" t="s">
        <v>119</v>
      </c>
      <c r="H68" s="3" t="s">
        <v>120</v>
      </c>
      <c r="I68" s="3"/>
      <c r="J68" s="3"/>
      <c r="K68" s="3">
        <v>212</v>
      </c>
      <c r="L68" s="3">
        <v>19</v>
      </c>
      <c r="M68" s="3">
        <v>0</v>
      </c>
      <c r="N68" s="3" t="s">
        <v>534</v>
      </c>
    </row>
    <row r="69" spans="1:14" ht="12.75">
      <c r="A69" s="3">
        <v>50</v>
      </c>
      <c r="B69" s="3">
        <f>IF(Source!F69&lt;&gt;0,1,0)</f>
        <v>1</v>
      </c>
      <c r="C69" s="3">
        <v>0</v>
      </c>
      <c r="D69" s="3">
        <v>2</v>
      </c>
      <c r="E69" s="3">
        <v>0</v>
      </c>
      <c r="F69" s="3">
        <v>1164.09</v>
      </c>
      <c r="G69" s="3" t="s">
        <v>121</v>
      </c>
      <c r="H69" s="3" t="s">
        <v>122</v>
      </c>
      <c r="I69" s="3"/>
      <c r="J69" s="3"/>
      <c r="K69" s="3">
        <v>212</v>
      </c>
      <c r="L69" s="3">
        <v>20</v>
      </c>
      <c r="M69" s="3">
        <v>1</v>
      </c>
      <c r="N69" s="3" t="s">
        <v>534</v>
      </c>
    </row>
    <row r="70" spans="1:14" ht="12.75">
      <c r="A70" s="3">
        <v>50</v>
      </c>
      <c r="B70" s="3">
        <v>0</v>
      </c>
      <c r="C70" s="3">
        <v>0</v>
      </c>
      <c r="D70" s="3">
        <v>2</v>
      </c>
      <c r="E70" s="3">
        <v>0</v>
      </c>
      <c r="F70" s="3">
        <f>ROUND(1,2)</f>
        <v>1</v>
      </c>
      <c r="G70" s="3" t="s">
        <v>123</v>
      </c>
      <c r="H70" s="3" t="s">
        <v>124</v>
      </c>
      <c r="I70" s="3"/>
      <c r="J70" s="3"/>
      <c r="K70" s="3">
        <v>212</v>
      </c>
      <c r="L70" s="3">
        <v>21</v>
      </c>
      <c r="M70" s="3">
        <v>3</v>
      </c>
      <c r="N70" s="3" t="s">
        <v>125</v>
      </c>
    </row>
    <row r="71" spans="1:14" ht="12.75">
      <c r="A71" s="3">
        <v>50</v>
      </c>
      <c r="B71" s="3">
        <v>1</v>
      </c>
      <c r="C71" s="3">
        <v>0</v>
      </c>
      <c r="D71" s="3">
        <v>2</v>
      </c>
      <c r="E71" s="3">
        <v>0</v>
      </c>
      <c r="F71" s="3">
        <f>ROUND((Source!F51-Source!F72)*Source!F70,2)</f>
        <v>290654.03</v>
      </c>
      <c r="G71" s="3" t="s">
        <v>126</v>
      </c>
      <c r="H71" s="3" t="s">
        <v>127</v>
      </c>
      <c r="I71" s="3"/>
      <c r="J71" s="3"/>
      <c r="K71" s="3">
        <v>212</v>
      </c>
      <c r="L71" s="3">
        <v>22</v>
      </c>
      <c r="M71" s="3">
        <v>0</v>
      </c>
      <c r="N71" s="3" t="s">
        <v>534</v>
      </c>
    </row>
    <row r="72" spans="1:14" ht="12.75">
      <c r="A72" s="3">
        <v>50</v>
      </c>
      <c r="B72" s="3">
        <f>IF(Source!F72&lt;&gt;0,1,0)</f>
        <v>1</v>
      </c>
      <c r="C72" s="3">
        <v>0</v>
      </c>
      <c r="D72" s="3">
        <v>2</v>
      </c>
      <c r="E72" s="3">
        <v>0</v>
      </c>
      <c r="F72" s="3">
        <v>80819.02</v>
      </c>
      <c r="G72" s="3" t="s">
        <v>128</v>
      </c>
      <c r="H72" s="3" t="s">
        <v>129</v>
      </c>
      <c r="I72" s="3"/>
      <c r="J72" s="3"/>
      <c r="K72" s="3">
        <v>212</v>
      </c>
      <c r="L72" s="3">
        <v>23</v>
      </c>
      <c r="M72" s="3">
        <v>1</v>
      </c>
      <c r="N72" s="3" t="s">
        <v>534</v>
      </c>
    </row>
    <row r="73" spans="1:14" ht="12.75">
      <c r="A73" s="3">
        <v>50</v>
      </c>
      <c r="B73" s="3">
        <v>1</v>
      </c>
      <c r="C73" s="3">
        <v>0</v>
      </c>
      <c r="D73" s="3">
        <v>2</v>
      </c>
      <c r="E73" s="3">
        <v>0</v>
      </c>
      <c r="F73" s="3">
        <f>ROUND(Source!F61*Source!F63,2)</f>
        <v>12223.14</v>
      </c>
      <c r="G73" s="3" t="s">
        <v>130</v>
      </c>
      <c r="H73" s="3" t="s">
        <v>131</v>
      </c>
      <c r="I73" s="3"/>
      <c r="J73" s="3"/>
      <c r="K73" s="3">
        <v>212</v>
      </c>
      <c r="L73" s="3">
        <v>24</v>
      </c>
      <c r="M73" s="3">
        <v>0</v>
      </c>
      <c r="N73" s="3" t="s">
        <v>534</v>
      </c>
    </row>
    <row r="74" spans="1:14" ht="12.75">
      <c r="A74" s="3">
        <v>50</v>
      </c>
      <c r="B74" s="3">
        <v>1</v>
      </c>
      <c r="C74" s="3">
        <v>0</v>
      </c>
      <c r="D74" s="3">
        <v>2</v>
      </c>
      <c r="E74" s="3">
        <v>0</v>
      </c>
      <c r="F74" s="3">
        <f>ROUND(Source!F62*Source!F63,2)</f>
        <v>6981.08</v>
      </c>
      <c r="G74" s="3" t="s">
        <v>132</v>
      </c>
      <c r="H74" s="3" t="s">
        <v>133</v>
      </c>
      <c r="I74" s="3"/>
      <c r="J74" s="3"/>
      <c r="K74" s="3">
        <v>212</v>
      </c>
      <c r="L74" s="3">
        <v>25</v>
      </c>
      <c r="M74" s="3">
        <v>0</v>
      </c>
      <c r="N74" s="3" t="s">
        <v>534</v>
      </c>
    </row>
    <row r="75" spans="1:14" ht="12.75">
      <c r="A75" s="3">
        <v>50</v>
      </c>
      <c r="B75" s="3">
        <v>1</v>
      </c>
      <c r="C75" s="3">
        <v>0</v>
      </c>
      <c r="D75" s="3">
        <v>2</v>
      </c>
      <c r="E75" s="3">
        <v>0</v>
      </c>
      <c r="F75" s="3">
        <f>ROUND(Source!F64+Source!F68+Source!F71+Source!F73+Source!F74+Source!F72+Source!F69,2)</f>
        <v>423729.19</v>
      </c>
      <c r="G75" s="3" t="s">
        <v>134</v>
      </c>
      <c r="H75" s="3" t="s">
        <v>135</v>
      </c>
      <c r="I75" s="3"/>
      <c r="J75" s="3"/>
      <c r="K75" s="3">
        <v>212</v>
      </c>
      <c r="L75" s="3">
        <v>26</v>
      </c>
      <c r="M75" s="3">
        <v>0</v>
      </c>
      <c r="N75" s="3" t="s">
        <v>534</v>
      </c>
    </row>
    <row r="76" spans="1:14" ht="12.75">
      <c r="A76" s="3">
        <v>50</v>
      </c>
      <c r="B76" s="3">
        <v>0</v>
      </c>
      <c r="C76" s="3">
        <v>0</v>
      </c>
      <c r="D76" s="3">
        <v>2</v>
      </c>
      <c r="E76" s="3">
        <v>0</v>
      </c>
      <c r="F76" s="3">
        <f>ROUND(Source!F58+Source!F59,2)</f>
        <v>199.22</v>
      </c>
      <c r="G76" s="3" t="s">
        <v>136</v>
      </c>
      <c r="H76" s="3" t="s">
        <v>137</v>
      </c>
      <c r="I76" s="3"/>
      <c r="J76" s="3"/>
      <c r="K76" s="3">
        <v>212</v>
      </c>
      <c r="L76" s="3">
        <v>27</v>
      </c>
      <c r="M76" s="3">
        <v>3</v>
      </c>
      <c r="N76" s="3" t="s">
        <v>534</v>
      </c>
    </row>
    <row r="77" spans="1:14" ht="12.75">
      <c r="A77" s="3">
        <v>50</v>
      </c>
      <c r="B77" s="3">
        <v>0</v>
      </c>
      <c r="C77" s="3">
        <v>0</v>
      </c>
      <c r="D77" s="3">
        <v>2</v>
      </c>
      <c r="E77" s="3">
        <v>0</v>
      </c>
      <c r="F77" s="3">
        <f>ROUND(1.4*0,2)</f>
        <v>0</v>
      </c>
      <c r="G77" s="3" t="s">
        <v>138</v>
      </c>
      <c r="H77" s="3" t="s">
        <v>139</v>
      </c>
      <c r="I77" s="3"/>
      <c r="J77" s="3"/>
      <c r="K77" s="3">
        <v>212</v>
      </c>
      <c r="L77" s="3">
        <v>28</v>
      </c>
      <c r="M77" s="3">
        <v>3</v>
      </c>
      <c r="N77" s="3" t="s">
        <v>140</v>
      </c>
    </row>
    <row r="78" spans="1:14" ht="12.75">
      <c r="A78" s="3">
        <v>50</v>
      </c>
      <c r="B78" s="3">
        <v>0</v>
      </c>
      <c r="C78" s="3">
        <v>0</v>
      </c>
      <c r="D78" s="3">
        <v>2</v>
      </c>
      <c r="E78" s="3">
        <v>0</v>
      </c>
      <c r="F78" s="3">
        <f>ROUND(IF(Source!F77&gt;0,Source!F75*(Source!F77/100),0),2)</f>
        <v>0</v>
      </c>
      <c r="G78" s="3" t="s">
        <v>141</v>
      </c>
      <c r="H78" s="3" t="s">
        <v>142</v>
      </c>
      <c r="I78" s="3"/>
      <c r="J78" s="3"/>
      <c r="K78" s="3">
        <v>212</v>
      </c>
      <c r="L78" s="3">
        <v>29</v>
      </c>
      <c r="M78" s="3">
        <v>3</v>
      </c>
      <c r="N78" s="3" t="s">
        <v>534</v>
      </c>
    </row>
    <row r="79" spans="1:14" ht="12.75">
      <c r="A79" s="3">
        <v>50</v>
      </c>
      <c r="B79" s="3">
        <v>0</v>
      </c>
      <c r="C79" s="3">
        <v>0</v>
      </c>
      <c r="D79" s="3">
        <v>2</v>
      </c>
      <c r="E79" s="3">
        <v>0</v>
      </c>
      <c r="F79" s="3">
        <f>ROUND(IF(Source!F77&gt;0,Source!F75*(Source!F77/100+1),0),2)</f>
        <v>0</v>
      </c>
      <c r="G79" s="3" t="s">
        <v>143</v>
      </c>
      <c r="H79" s="3" t="s">
        <v>144</v>
      </c>
      <c r="I79" s="3"/>
      <c r="J79" s="3"/>
      <c r="K79" s="3">
        <v>212</v>
      </c>
      <c r="L79" s="3">
        <v>30</v>
      </c>
      <c r="M79" s="3">
        <v>3</v>
      </c>
      <c r="N79" s="3" t="s">
        <v>534</v>
      </c>
    </row>
    <row r="80" spans="1:14" ht="12.75">
      <c r="A80" s="3">
        <v>50</v>
      </c>
      <c r="B80" s="3">
        <v>0</v>
      </c>
      <c r="C80" s="3">
        <v>0</v>
      </c>
      <c r="D80" s="3">
        <v>2</v>
      </c>
      <c r="E80" s="3">
        <v>0</v>
      </c>
      <c r="F80" s="3">
        <f>ROUND(0,2)</f>
        <v>0</v>
      </c>
      <c r="G80" s="3" t="s">
        <v>145</v>
      </c>
      <c r="H80" s="3" t="s">
        <v>146</v>
      </c>
      <c r="I80" s="3"/>
      <c r="J80" s="3"/>
      <c r="K80" s="3">
        <v>212</v>
      </c>
      <c r="L80" s="3">
        <v>31</v>
      </c>
      <c r="M80" s="3">
        <v>3</v>
      </c>
      <c r="N80" s="3" t="s">
        <v>147</v>
      </c>
    </row>
    <row r="81" spans="1:14" ht="12.75">
      <c r="A81" s="3">
        <v>50</v>
      </c>
      <c r="B81" s="3">
        <v>0</v>
      </c>
      <c r="C81" s="3">
        <v>0</v>
      </c>
      <c r="D81" s="3">
        <v>2</v>
      </c>
      <c r="E81" s="3">
        <v>0</v>
      </c>
      <c r="F81" s="3">
        <f>ROUND(IF(Source!F80&gt;0,IF(Source!F77&gt;0,Source!F79*(Source!F80/100),Source!F75*(Source!F80/100)),0),2)</f>
        <v>0</v>
      </c>
      <c r="G81" s="3" t="s">
        <v>148</v>
      </c>
      <c r="H81" s="3" t="s">
        <v>149</v>
      </c>
      <c r="I81" s="3"/>
      <c r="J81" s="3"/>
      <c r="K81" s="3">
        <v>212</v>
      </c>
      <c r="L81" s="3">
        <v>32</v>
      </c>
      <c r="M81" s="3">
        <v>3</v>
      </c>
      <c r="N81" s="3" t="s">
        <v>534</v>
      </c>
    </row>
    <row r="82" spans="1:14" ht="12.75">
      <c r="A82" s="3">
        <v>50</v>
      </c>
      <c r="B82" s="3">
        <v>0</v>
      </c>
      <c r="C82" s="3">
        <v>0</v>
      </c>
      <c r="D82" s="3">
        <v>2</v>
      </c>
      <c r="E82" s="3">
        <v>0</v>
      </c>
      <c r="F82" s="3">
        <f>ROUND(IF(Source!F80&gt;0,IF(Source!F77&gt;0,Source!F79*(Source!F80/100+1),Source!F75*(Source!F80/100+1)),0),2)</f>
        <v>0</v>
      </c>
      <c r="G82" s="3" t="s">
        <v>150</v>
      </c>
      <c r="H82" s="3" t="s">
        <v>151</v>
      </c>
      <c r="I82" s="3"/>
      <c r="J82" s="3"/>
      <c r="K82" s="3">
        <v>212</v>
      </c>
      <c r="L82" s="3">
        <v>33</v>
      </c>
      <c r="M82" s="3">
        <v>3</v>
      </c>
      <c r="N82" s="3" t="s">
        <v>534</v>
      </c>
    </row>
    <row r="83" spans="1:14" ht="12.75">
      <c r="A83" s="3">
        <v>50</v>
      </c>
      <c r="B83" s="3">
        <v>0</v>
      </c>
      <c r="C83" s="3">
        <v>0</v>
      </c>
      <c r="D83" s="3">
        <v>2</v>
      </c>
      <c r="E83" s="3">
        <v>0</v>
      </c>
      <c r="F83" s="3">
        <f>ROUND(2*0,2)</f>
        <v>0</v>
      </c>
      <c r="G83" s="3" t="s">
        <v>152</v>
      </c>
      <c r="H83" s="3" t="s">
        <v>153</v>
      </c>
      <c r="I83" s="3"/>
      <c r="J83" s="3"/>
      <c r="K83" s="3">
        <v>212</v>
      </c>
      <c r="L83" s="3">
        <v>34</v>
      </c>
      <c r="M83" s="3">
        <v>3</v>
      </c>
      <c r="N83" s="3" t="s">
        <v>154</v>
      </c>
    </row>
    <row r="84" spans="1:14" ht="12.75">
      <c r="A84" s="3">
        <v>50</v>
      </c>
      <c r="B84" s="3">
        <v>0</v>
      </c>
      <c r="C84" s="3">
        <v>0</v>
      </c>
      <c r="D84" s="3">
        <v>2</v>
      </c>
      <c r="E84" s="3">
        <v>0</v>
      </c>
      <c r="F84" s="3">
        <f>ROUND(2*0,2)</f>
        <v>0</v>
      </c>
      <c r="G84" s="3" t="s">
        <v>155</v>
      </c>
      <c r="H84" s="3" t="s">
        <v>156</v>
      </c>
      <c r="I84" s="3"/>
      <c r="J84" s="3"/>
      <c r="K84" s="3">
        <v>212</v>
      </c>
      <c r="L84" s="3">
        <v>35</v>
      </c>
      <c r="M84" s="3">
        <v>3</v>
      </c>
      <c r="N84" s="3" t="s">
        <v>534</v>
      </c>
    </row>
    <row r="85" spans="1:14" ht="12.75">
      <c r="A85" s="3">
        <v>50</v>
      </c>
      <c r="B85" s="3">
        <v>0</v>
      </c>
      <c r="C85" s="3">
        <v>0</v>
      </c>
      <c r="D85" s="3">
        <v>2</v>
      </c>
      <c r="E85" s="3">
        <v>0</v>
      </c>
      <c r="F85" s="3">
        <f>ROUND(IF(Source!F80&gt;0,Source!F82*(Source!F83/100+1),IF(Source!F77&gt;0,Source!F79*(Source!F83/100+1),Source!F75*(Source!F83/100+1))),2)</f>
        <v>423729.19</v>
      </c>
      <c r="G85" s="3" t="s">
        <v>157</v>
      </c>
      <c r="H85" s="3" t="s">
        <v>158</v>
      </c>
      <c r="I85" s="3"/>
      <c r="J85" s="3"/>
      <c r="K85" s="3">
        <v>212</v>
      </c>
      <c r="L85" s="3">
        <v>36</v>
      </c>
      <c r="M85" s="3">
        <v>3</v>
      </c>
      <c r="N85" s="3" t="s">
        <v>534</v>
      </c>
    </row>
    <row r="86" spans="1:14" ht="12.75">
      <c r="A86" s="3">
        <v>50</v>
      </c>
      <c r="B86" s="3">
        <v>0</v>
      </c>
      <c r="C86" s="3">
        <v>0</v>
      </c>
      <c r="D86" s="3">
        <v>2</v>
      </c>
      <c r="E86" s="3">
        <v>0</v>
      </c>
      <c r="F86" s="3">
        <f>ROUND(0,2)</f>
        <v>0</v>
      </c>
      <c r="G86" s="3" t="s">
        <v>159</v>
      </c>
      <c r="H86" s="3" t="s">
        <v>160</v>
      </c>
      <c r="I86" s="3"/>
      <c r="J86" s="3"/>
      <c r="K86" s="3">
        <v>212</v>
      </c>
      <c r="L86" s="3">
        <v>37</v>
      </c>
      <c r="M86" s="3">
        <v>3</v>
      </c>
      <c r="N86" s="3" t="s">
        <v>534</v>
      </c>
    </row>
    <row r="87" spans="1:14" ht="12.75">
      <c r="A87" s="3">
        <v>50</v>
      </c>
      <c r="B87" s="3">
        <v>0</v>
      </c>
      <c r="C87" s="3">
        <v>0</v>
      </c>
      <c r="D87" s="3">
        <v>2</v>
      </c>
      <c r="E87" s="3">
        <v>0</v>
      </c>
      <c r="F87" s="3">
        <f>ROUND(IF(Source!F86&gt;0,Source!F85*Source!F86,0),2)</f>
        <v>0</v>
      </c>
      <c r="G87" s="3" t="s">
        <v>161</v>
      </c>
      <c r="H87" s="3" t="s">
        <v>162</v>
      </c>
      <c r="I87" s="3"/>
      <c r="J87" s="3"/>
      <c r="K87" s="3">
        <v>212</v>
      </c>
      <c r="L87" s="3">
        <v>38</v>
      </c>
      <c r="M87" s="3">
        <v>3</v>
      </c>
      <c r="N87" s="3" t="s">
        <v>534</v>
      </c>
    </row>
    <row r="88" spans="1:14" ht="12.75">
      <c r="A88" s="3">
        <v>50</v>
      </c>
      <c r="B88" s="3">
        <v>1</v>
      </c>
      <c r="C88" s="3">
        <v>0</v>
      </c>
      <c r="D88" s="3">
        <v>2</v>
      </c>
      <c r="E88" s="3">
        <v>0</v>
      </c>
      <c r="F88" s="3">
        <f>ROUND(IF(Source!F86&gt;0,Source!F87*0.18,Source!F85*0.18),2)</f>
        <v>76271.25</v>
      </c>
      <c r="G88" s="3" t="s">
        <v>163</v>
      </c>
      <c r="H88" s="3" t="s">
        <v>164</v>
      </c>
      <c r="I88" s="3"/>
      <c r="J88" s="3"/>
      <c r="K88" s="3">
        <v>212</v>
      </c>
      <c r="L88" s="3">
        <v>39</v>
      </c>
      <c r="M88" s="3">
        <v>0</v>
      </c>
      <c r="N88" s="3" t="s">
        <v>534</v>
      </c>
    </row>
    <row r="89" spans="1:14" ht="12.75">
      <c r="A89" s="3">
        <v>50</v>
      </c>
      <c r="B89" s="3">
        <v>1</v>
      </c>
      <c r="C89" s="3">
        <v>0</v>
      </c>
      <c r="D89" s="3">
        <v>2</v>
      </c>
      <c r="E89" s="3">
        <v>213</v>
      </c>
      <c r="F89" s="3">
        <f>ROUND(IF(Source!F86&gt;0,Source!F87+Source!F88,Source!F85+Source!F88),2)</f>
        <v>500000.44</v>
      </c>
      <c r="G89" s="3" t="s">
        <v>165</v>
      </c>
      <c r="H89" s="3" t="s">
        <v>151</v>
      </c>
      <c r="I89" s="3"/>
      <c r="J89" s="3"/>
      <c r="K89" s="3">
        <v>212</v>
      </c>
      <c r="L89" s="3">
        <v>40</v>
      </c>
      <c r="M89" s="3">
        <v>0</v>
      </c>
      <c r="N89" s="3" t="s">
        <v>534</v>
      </c>
    </row>
    <row r="91" spans="1:43" ht="12.75">
      <c r="A91" s="2">
        <v>51</v>
      </c>
      <c r="B91" s="2">
        <f>B12</f>
        <v>1</v>
      </c>
      <c r="C91" s="2">
        <f>A12</f>
        <v>1</v>
      </c>
      <c r="D91" s="2">
        <f>ROW(A12)</f>
        <v>12</v>
      </c>
      <c r="E91" s="2"/>
      <c r="F91" s="2" t="str">
        <f>IF(F12&lt;&gt;"",F12,"")</f>
        <v>Новый объект</v>
      </c>
      <c r="G91" s="2" t="str">
        <f>IF(G12&lt;&gt;"",G12,"")</f>
        <v>Депутатские наказы</v>
      </c>
      <c r="H91" s="2"/>
      <c r="I91" s="2"/>
      <c r="J91" s="2"/>
      <c r="K91" s="2"/>
      <c r="L91" s="2"/>
      <c r="M91" s="2"/>
      <c r="N91" s="2"/>
      <c r="O91" s="2">
        <f aca="true" t="shared" si="32" ref="O91:Y91">ROUND(O48,2)</f>
        <v>404524.97</v>
      </c>
      <c r="P91" s="2">
        <f t="shared" si="32"/>
        <v>371473.05</v>
      </c>
      <c r="Q91" s="2">
        <f t="shared" si="32"/>
        <v>26356.95</v>
      </c>
      <c r="R91" s="2">
        <f t="shared" si="32"/>
        <v>2344.97</v>
      </c>
      <c r="S91" s="2">
        <f t="shared" si="32"/>
        <v>6694.97</v>
      </c>
      <c r="T91" s="2">
        <f t="shared" si="32"/>
        <v>0</v>
      </c>
      <c r="U91" s="2">
        <f t="shared" si="32"/>
        <v>146.71</v>
      </c>
      <c r="V91" s="2">
        <f t="shared" si="32"/>
        <v>52.51</v>
      </c>
      <c r="W91" s="2">
        <f t="shared" si="32"/>
        <v>0</v>
      </c>
      <c r="X91" s="2">
        <f t="shared" si="32"/>
        <v>12223.14</v>
      </c>
      <c r="Y91" s="2">
        <f t="shared" si="32"/>
        <v>6981.08</v>
      </c>
      <c r="Z91" s="2"/>
      <c r="AA91" s="2"/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/>
      <c r="AN91" s="2">
        <f>ROUND(AN48,2)</f>
        <v>0</v>
      </c>
      <c r="AO91" s="2">
        <v>0</v>
      </c>
      <c r="AP91" s="2">
        <f>ROUND(AP48,2)</f>
        <v>0</v>
      </c>
      <c r="AQ91" s="2">
        <v>0</v>
      </c>
    </row>
    <row r="93" spans="1:14" ht="12.75">
      <c r="A93" s="3">
        <v>50</v>
      </c>
      <c r="B93" s="3">
        <v>0</v>
      </c>
      <c r="C93" s="3">
        <v>0</v>
      </c>
      <c r="D93" s="3">
        <v>1</v>
      </c>
      <c r="E93" s="3">
        <v>201</v>
      </c>
      <c r="F93" s="3">
        <f>Source!O91</f>
        <v>404524.97</v>
      </c>
      <c r="G93" s="3" t="s">
        <v>81</v>
      </c>
      <c r="H93" s="3" t="s">
        <v>82</v>
      </c>
      <c r="I93" s="3"/>
      <c r="J93" s="3"/>
      <c r="K93" s="3">
        <v>201</v>
      </c>
      <c r="L93" s="3">
        <v>1</v>
      </c>
      <c r="M93" s="3">
        <v>3</v>
      </c>
      <c r="N93" s="3" t="s">
        <v>534</v>
      </c>
    </row>
    <row r="94" spans="1:14" ht="12.75">
      <c r="A94" s="3">
        <v>50</v>
      </c>
      <c r="B94" s="3">
        <v>0</v>
      </c>
      <c r="C94" s="3">
        <v>0</v>
      </c>
      <c r="D94" s="3">
        <v>1</v>
      </c>
      <c r="E94" s="3">
        <v>202</v>
      </c>
      <c r="F94" s="3">
        <f>Source!P91</f>
        <v>371473.05</v>
      </c>
      <c r="G94" s="3" t="s">
        <v>83</v>
      </c>
      <c r="H94" s="3" t="s">
        <v>84</v>
      </c>
      <c r="I94" s="3"/>
      <c r="J94" s="3"/>
      <c r="K94" s="3">
        <v>202</v>
      </c>
      <c r="L94" s="3">
        <v>2</v>
      </c>
      <c r="M94" s="3">
        <v>3</v>
      </c>
      <c r="N94" s="3" t="s">
        <v>534</v>
      </c>
    </row>
    <row r="95" spans="1:14" ht="12.75">
      <c r="A95" s="3">
        <v>50</v>
      </c>
      <c r="B95" s="3">
        <v>0</v>
      </c>
      <c r="C95" s="3">
        <v>0</v>
      </c>
      <c r="D95" s="3">
        <v>1</v>
      </c>
      <c r="E95" s="3">
        <v>222</v>
      </c>
      <c r="F95" s="3">
        <f>Source!AN91</f>
        <v>0</v>
      </c>
      <c r="G95" s="3" t="s">
        <v>85</v>
      </c>
      <c r="H95" s="3" t="s">
        <v>86</v>
      </c>
      <c r="I95" s="3"/>
      <c r="J95" s="3"/>
      <c r="K95" s="3">
        <v>222</v>
      </c>
      <c r="L95" s="3">
        <v>3</v>
      </c>
      <c r="M95" s="3">
        <v>3</v>
      </c>
      <c r="N95" s="3" t="s">
        <v>534</v>
      </c>
    </row>
    <row r="96" spans="1:14" ht="12.75">
      <c r="A96" s="3">
        <v>50</v>
      </c>
      <c r="B96" s="3">
        <v>0</v>
      </c>
      <c r="C96" s="3">
        <v>0</v>
      </c>
      <c r="D96" s="3">
        <v>1</v>
      </c>
      <c r="E96" s="3">
        <v>216</v>
      </c>
      <c r="F96" s="3">
        <f>Source!AP91</f>
        <v>0</v>
      </c>
      <c r="G96" s="3" t="s">
        <v>87</v>
      </c>
      <c r="H96" s="3" t="s">
        <v>88</v>
      </c>
      <c r="I96" s="3"/>
      <c r="J96" s="3"/>
      <c r="K96" s="3">
        <v>216</v>
      </c>
      <c r="L96" s="3">
        <v>4</v>
      </c>
      <c r="M96" s="3">
        <v>3</v>
      </c>
      <c r="N96" s="3" t="s">
        <v>534</v>
      </c>
    </row>
    <row r="97" spans="1:14" ht="12.75">
      <c r="A97" s="3">
        <v>50</v>
      </c>
      <c r="B97" s="3">
        <v>0</v>
      </c>
      <c r="C97" s="3">
        <v>0</v>
      </c>
      <c r="D97" s="3">
        <v>1</v>
      </c>
      <c r="E97" s="3">
        <v>203</v>
      </c>
      <c r="F97" s="3">
        <f>Source!Q91</f>
        <v>26356.95</v>
      </c>
      <c r="G97" s="3" t="s">
        <v>89</v>
      </c>
      <c r="H97" s="3" t="s">
        <v>90</v>
      </c>
      <c r="I97" s="3"/>
      <c r="J97" s="3"/>
      <c r="K97" s="3">
        <v>203</v>
      </c>
      <c r="L97" s="3">
        <v>5</v>
      </c>
      <c r="M97" s="3">
        <v>3</v>
      </c>
      <c r="N97" s="3" t="s">
        <v>534</v>
      </c>
    </row>
    <row r="98" spans="1:14" ht="12.75">
      <c r="A98" s="3">
        <v>50</v>
      </c>
      <c r="B98" s="3">
        <v>0</v>
      </c>
      <c r="C98" s="3">
        <v>0</v>
      </c>
      <c r="D98" s="3">
        <v>1</v>
      </c>
      <c r="E98" s="3">
        <v>204</v>
      </c>
      <c r="F98" s="3">
        <f>Source!R91</f>
        <v>2344.97</v>
      </c>
      <c r="G98" s="3" t="s">
        <v>91</v>
      </c>
      <c r="H98" s="3" t="s">
        <v>92</v>
      </c>
      <c r="I98" s="3"/>
      <c r="J98" s="3"/>
      <c r="K98" s="3">
        <v>204</v>
      </c>
      <c r="L98" s="3">
        <v>6</v>
      </c>
      <c r="M98" s="3">
        <v>3</v>
      </c>
      <c r="N98" s="3" t="s">
        <v>534</v>
      </c>
    </row>
    <row r="99" spans="1:14" ht="12.75">
      <c r="A99" s="3">
        <v>50</v>
      </c>
      <c r="B99" s="3">
        <v>0</v>
      </c>
      <c r="C99" s="3">
        <v>0</v>
      </c>
      <c r="D99" s="3">
        <v>1</v>
      </c>
      <c r="E99" s="3">
        <v>205</v>
      </c>
      <c r="F99" s="3">
        <f>Source!S91</f>
        <v>6694.97</v>
      </c>
      <c r="G99" s="3" t="s">
        <v>93</v>
      </c>
      <c r="H99" s="3" t="s">
        <v>94</v>
      </c>
      <c r="I99" s="3"/>
      <c r="J99" s="3"/>
      <c r="K99" s="3">
        <v>205</v>
      </c>
      <c r="L99" s="3">
        <v>7</v>
      </c>
      <c r="M99" s="3">
        <v>3</v>
      </c>
      <c r="N99" s="3" t="s">
        <v>534</v>
      </c>
    </row>
    <row r="100" spans="1:14" ht="12.75">
      <c r="A100" s="3">
        <v>50</v>
      </c>
      <c r="B100" s="3">
        <v>0</v>
      </c>
      <c r="C100" s="3">
        <v>0</v>
      </c>
      <c r="D100" s="3">
        <v>1</v>
      </c>
      <c r="E100" s="3">
        <v>206</v>
      </c>
      <c r="F100" s="3">
        <f>Source!T91</f>
        <v>0</v>
      </c>
      <c r="G100" s="3" t="s">
        <v>95</v>
      </c>
      <c r="H100" s="3" t="s">
        <v>96</v>
      </c>
      <c r="I100" s="3"/>
      <c r="J100" s="3"/>
      <c r="K100" s="3">
        <v>206</v>
      </c>
      <c r="L100" s="3">
        <v>8</v>
      </c>
      <c r="M100" s="3">
        <v>3</v>
      </c>
      <c r="N100" s="3" t="s">
        <v>534</v>
      </c>
    </row>
    <row r="101" spans="1:14" ht="12.75">
      <c r="A101" s="3">
        <v>50</v>
      </c>
      <c r="B101" s="3">
        <v>0</v>
      </c>
      <c r="C101" s="3">
        <v>0</v>
      </c>
      <c r="D101" s="3">
        <v>1</v>
      </c>
      <c r="E101" s="3">
        <v>207</v>
      </c>
      <c r="F101" s="3">
        <f>Source!U91</f>
        <v>146.71</v>
      </c>
      <c r="G101" s="3" t="s">
        <v>97</v>
      </c>
      <c r="H101" s="3" t="s">
        <v>98</v>
      </c>
      <c r="I101" s="3"/>
      <c r="J101" s="3"/>
      <c r="K101" s="3">
        <v>207</v>
      </c>
      <c r="L101" s="3">
        <v>9</v>
      </c>
      <c r="M101" s="3">
        <v>3</v>
      </c>
      <c r="N101" s="3" t="s">
        <v>534</v>
      </c>
    </row>
    <row r="102" spans="1:14" ht="12.75">
      <c r="A102" s="3">
        <v>50</v>
      </c>
      <c r="B102" s="3">
        <v>0</v>
      </c>
      <c r="C102" s="3">
        <v>0</v>
      </c>
      <c r="D102" s="3">
        <v>1</v>
      </c>
      <c r="E102" s="3">
        <v>208</v>
      </c>
      <c r="F102" s="3">
        <f>Source!V91</f>
        <v>52.51</v>
      </c>
      <c r="G102" s="3" t="s">
        <v>99</v>
      </c>
      <c r="H102" s="3" t="s">
        <v>100</v>
      </c>
      <c r="I102" s="3"/>
      <c r="J102" s="3"/>
      <c r="K102" s="3">
        <v>208</v>
      </c>
      <c r="L102" s="3">
        <v>10</v>
      </c>
      <c r="M102" s="3">
        <v>3</v>
      </c>
      <c r="N102" s="3" t="s">
        <v>534</v>
      </c>
    </row>
    <row r="103" spans="1:14" ht="12.75">
      <c r="A103" s="3">
        <v>50</v>
      </c>
      <c r="B103" s="3">
        <v>0</v>
      </c>
      <c r="C103" s="3">
        <v>0</v>
      </c>
      <c r="D103" s="3">
        <v>1</v>
      </c>
      <c r="E103" s="3">
        <v>209</v>
      </c>
      <c r="F103" s="3">
        <f>Source!W91</f>
        <v>0</v>
      </c>
      <c r="G103" s="3" t="s">
        <v>101</v>
      </c>
      <c r="H103" s="3" t="s">
        <v>102</v>
      </c>
      <c r="I103" s="3"/>
      <c r="J103" s="3"/>
      <c r="K103" s="3">
        <v>209</v>
      </c>
      <c r="L103" s="3">
        <v>11</v>
      </c>
      <c r="M103" s="3">
        <v>3</v>
      </c>
      <c r="N103" s="3" t="s">
        <v>534</v>
      </c>
    </row>
    <row r="104" spans="1:14" ht="12.75">
      <c r="A104" s="3">
        <v>50</v>
      </c>
      <c r="B104" s="3">
        <v>0</v>
      </c>
      <c r="C104" s="3">
        <v>0</v>
      </c>
      <c r="D104" s="3">
        <v>1</v>
      </c>
      <c r="E104" s="3">
        <v>210</v>
      </c>
      <c r="F104" s="3">
        <f>Source!X91</f>
        <v>12223.14</v>
      </c>
      <c r="G104" s="3" t="s">
        <v>103</v>
      </c>
      <c r="H104" s="3" t="s">
        <v>104</v>
      </c>
      <c r="I104" s="3"/>
      <c r="J104" s="3"/>
      <c r="K104" s="3">
        <v>210</v>
      </c>
      <c r="L104" s="3">
        <v>12</v>
      </c>
      <c r="M104" s="3">
        <v>3</v>
      </c>
      <c r="N104" s="3" t="s">
        <v>534</v>
      </c>
    </row>
    <row r="105" spans="1:14" ht="12.75">
      <c r="A105" s="3">
        <v>50</v>
      </c>
      <c r="B105" s="3">
        <v>0</v>
      </c>
      <c r="C105" s="3">
        <v>0</v>
      </c>
      <c r="D105" s="3">
        <v>1</v>
      </c>
      <c r="E105" s="3">
        <v>211</v>
      </c>
      <c r="F105" s="3">
        <f>Source!Y91</f>
        <v>6981.08</v>
      </c>
      <c r="G105" s="3" t="s">
        <v>105</v>
      </c>
      <c r="H105" s="3" t="s">
        <v>106</v>
      </c>
      <c r="I105" s="3"/>
      <c r="J105" s="3"/>
      <c r="K105" s="3">
        <v>211</v>
      </c>
      <c r="L105" s="3">
        <v>13</v>
      </c>
      <c r="M105" s="3">
        <v>3</v>
      </c>
      <c r="N105" s="3" t="s">
        <v>534</v>
      </c>
    </row>
    <row r="106" spans="1:14" ht="12.75">
      <c r="A106" s="3">
        <v>50</v>
      </c>
      <c r="B106" s="3">
        <v>0</v>
      </c>
      <c r="C106" s="3">
        <v>0</v>
      </c>
      <c r="D106" s="3">
        <v>2</v>
      </c>
      <c r="E106" s="3">
        <v>0</v>
      </c>
      <c r="F106" s="3">
        <f>ROUND(1,2)</f>
        <v>1</v>
      </c>
      <c r="G106" s="3" t="s">
        <v>107</v>
      </c>
      <c r="H106" s="3" t="s">
        <v>108</v>
      </c>
      <c r="I106" s="3"/>
      <c r="J106" s="3"/>
      <c r="K106" s="3">
        <v>212</v>
      </c>
      <c r="L106" s="3">
        <v>14</v>
      </c>
      <c r="M106" s="3">
        <v>3</v>
      </c>
      <c r="N106" s="3" t="s">
        <v>109</v>
      </c>
    </row>
    <row r="107" spans="1:14" ht="12.75">
      <c r="A107" s="3">
        <v>50</v>
      </c>
      <c r="B107" s="3">
        <v>1</v>
      </c>
      <c r="C107" s="3">
        <v>0</v>
      </c>
      <c r="D107" s="3">
        <v>2</v>
      </c>
      <c r="E107" s="3">
        <v>0</v>
      </c>
      <c r="F107" s="3">
        <f>ROUND(Source!F99*Source!F106,2)</f>
        <v>6694.97</v>
      </c>
      <c r="G107" s="3" t="s">
        <v>110</v>
      </c>
      <c r="H107" s="3" t="s">
        <v>111</v>
      </c>
      <c r="I107" s="3"/>
      <c r="J107" s="3"/>
      <c r="K107" s="3">
        <v>212</v>
      </c>
      <c r="L107" s="3">
        <v>15</v>
      </c>
      <c r="M107" s="3">
        <v>0</v>
      </c>
      <c r="N107" s="3" t="s">
        <v>534</v>
      </c>
    </row>
    <row r="108" spans="1:14" ht="12.75">
      <c r="A108" s="3">
        <v>50</v>
      </c>
      <c r="B108" s="3">
        <v>1</v>
      </c>
      <c r="C108" s="3">
        <v>0</v>
      </c>
      <c r="D108" s="3">
        <v>2</v>
      </c>
      <c r="E108" s="3">
        <v>0</v>
      </c>
      <c r="F108" s="3">
        <f>ROUND(Source!F98*Source!F106,2)</f>
        <v>2344.97</v>
      </c>
      <c r="G108" s="3" t="s">
        <v>112</v>
      </c>
      <c r="H108" s="3" t="s">
        <v>113</v>
      </c>
      <c r="I108" s="3"/>
      <c r="J108" s="3"/>
      <c r="K108" s="3">
        <v>212</v>
      </c>
      <c r="L108" s="3">
        <v>16</v>
      </c>
      <c r="M108" s="3">
        <v>0</v>
      </c>
      <c r="N108" s="3" t="s">
        <v>534</v>
      </c>
    </row>
    <row r="109" spans="1:14" ht="12.75">
      <c r="A109" s="3">
        <v>50</v>
      </c>
      <c r="B109" s="3">
        <v>0</v>
      </c>
      <c r="C109" s="3">
        <v>0</v>
      </c>
      <c r="D109" s="3">
        <v>2</v>
      </c>
      <c r="E109" s="3">
        <v>0</v>
      </c>
      <c r="F109" s="3">
        <f>ROUND(Source!F107+Source!F108,2)</f>
        <v>9039.94</v>
      </c>
      <c r="G109" s="3" t="s">
        <v>114</v>
      </c>
      <c r="H109" s="3" t="s">
        <v>115</v>
      </c>
      <c r="I109" s="3"/>
      <c r="J109" s="3"/>
      <c r="K109" s="3">
        <v>212</v>
      </c>
      <c r="L109" s="3">
        <v>17</v>
      </c>
      <c r="M109" s="3">
        <v>3</v>
      </c>
      <c r="N109" s="3" t="s">
        <v>534</v>
      </c>
    </row>
    <row r="110" spans="1:14" ht="12.75">
      <c r="A110" s="3">
        <v>50</v>
      </c>
      <c r="B110" s="3">
        <v>0</v>
      </c>
      <c r="C110" s="3">
        <v>0</v>
      </c>
      <c r="D110" s="3">
        <v>2</v>
      </c>
      <c r="E110" s="3">
        <v>0</v>
      </c>
      <c r="F110" s="3">
        <f>ROUND(1,2)</f>
        <v>1</v>
      </c>
      <c r="G110" s="3" t="s">
        <v>116</v>
      </c>
      <c r="H110" s="3" t="s">
        <v>117</v>
      </c>
      <c r="I110" s="3"/>
      <c r="J110" s="3"/>
      <c r="K110" s="3">
        <v>212</v>
      </c>
      <c r="L110" s="3">
        <v>18</v>
      </c>
      <c r="M110" s="3">
        <v>3</v>
      </c>
      <c r="N110" s="3" t="s">
        <v>118</v>
      </c>
    </row>
    <row r="111" spans="1:14" ht="12.75">
      <c r="A111" s="3">
        <v>50</v>
      </c>
      <c r="B111" s="3">
        <v>1</v>
      </c>
      <c r="C111" s="3">
        <v>0</v>
      </c>
      <c r="D111" s="3">
        <v>2</v>
      </c>
      <c r="E111" s="3">
        <v>0</v>
      </c>
      <c r="F111" s="3">
        <f>ROUND((Source!F97-Source!F112)*Source!F110,2)</f>
        <v>25192.86</v>
      </c>
      <c r="G111" s="3" t="s">
        <v>119</v>
      </c>
      <c r="H111" s="3" t="s">
        <v>120</v>
      </c>
      <c r="I111" s="3"/>
      <c r="J111" s="3"/>
      <c r="K111" s="3">
        <v>212</v>
      </c>
      <c r="L111" s="3">
        <v>19</v>
      </c>
      <c r="M111" s="3">
        <v>0</v>
      </c>
      <c r="N111" s="3" t="s">
        <v>534</v>
      </c>
    </row>
    <row r="112" spans="1:14" ht="12.75">
      <c r="A112" s="3">
        <v>50</v>
      </c>
      <c r="B112" s="3">
        <f>IF(Source!F112&lt;&gt;0,1,0)</f>
        <v>1</v>
      </c>
      <c r="C112" s="3">
        <v>0</v>
      </c>
      <c r="D112" s="3">
        <v>2</v>
      </c>
      <c r="E112" s="3">
        <v>0</v>
      </c>
      <c r="F112" s="3">
        <v>1164.09</v>
      </c>
      <c r="G112" s="3" t="s">
        <v>121</v>
      </c>
      <c r="H112" s="3" t="s">
        <v>122</v>
      </c>
      <c r="I112" s="3"/>
      <c r="J112" s="3"/>
      <c r="K112" s="3">
        <v>212</v>
      </c>
      <c r="L112" s="3">
        <v>20</v>
      </c>
      <c r="M112" s="3">
        <v>1</v>
      </c>
      <c r="N112" s="3" t="s">
        <v>534</v>
      </c>
    </row>
    <row r="113" spans="1:14" ht="12.75">
      <c r="A113" s="3">
        <v>50</v>
      </c>
      <c r="B113" s="3">
        <v>0</v>
      </c>
      <c r="C113" s="3">
        <v>0</v>
      </c>
      <c r="D113" s="3">
        <v>2</v>
      </c>
      <c r="E113" s="3">
        <v>0</v>
      </c>
      <c r="F113" s="3">
        <f>ROUND(1,2)</f>
        <v>1</v>
      </c>
      <c r="G113" s="3" t="s">
        <v>123</v>
      </c>
      <c r="H113" s="3" t="s">
        <v>124</v>
      </c>
      <c r="I113" s="3"/>
      <c r="J113" s="3"/>
      <c r="K113" s="3">
        <v>212</v>
      </c>
      <c r="L113" s="3">
        <v>21</v>
      </c>
      <c r="M113" s="3">
        <v>3</v>
      </c>
      <c r="N113" s="3" t="s">
        <v>125</v>
      </c>
    </row>
    <row r="114" spans="1:14" ht="12.75">
      <c r="A114" s="3">
        <v>50</v>
      </c>
      <c r="B114" s="3">
        <v>1</v>
      </c>
      <c r="C114" s="3">
        <v>0</v>
      </c>
      <c r="D114" s="3">
        <v>2</v>
      </c>
      <c r="E114" s="3">
        <v>0</v>
      </c>
      <c r="F114" s="3">
        <f>ROUND((Source!F94-Source!F115)*Source!F113,2)</f>
        <v>290654.03</v>
      </c>
      <c r="G114" s="3" t="s">
        <v>126</v>
      </c>
      <c r="H114" s="3" t="s">
        <v>127</v>
      </c>
      <c r="I114" s="3"/>
      <c r="J114" s="3"/>
      <c r="K114" s="3">
        <v>212</v>
      </c>
      <c r="L114" s="3">
        <v>22</v>
      </c>
      <c r="M114" s="3">
        <v>0</v>
      </c>
      <c r="N114" s="3" t="s">
        <v>534</v>
      </c>
    </row>
    <row r="115" spans="1:14" ht="12.75">
      <c r="A115" s="3">
        <v>50</v>
      </c>
      <c r="B115" s="3">
        <f>IF(Source!F115&lt;&gt;0,1,0)</f>
        <v>1</v>
      </c>
      <c r="C115" s="3">
        <v>0</v>
      </c>
      <c r="D115" s="3">
        <v>2</v>
      </c>
      <c r="E115" s="3">
        <v>0</v>
      </c>
      <c r="F115" s="3">
        <v>80819.02</v>
      </c>
      <c r="G115" s="3" t="s">
        <v>128</v>
      </c>
      <c r="H115" s="3" t="s">
        <v>129</v>
      </c>
      <c r="I115" s="3"/>
      <c r="J115" s="3"/>
      <c r="K115" s="3">
        <v>212</v>
      </c>
      <c r="L115" s="3">
        <v>23</v>
      </c>
      <c r="M115" s="3">
        <v>1</v>
      </c>
      <c r="N115" s="3" t="s">
        <v>534</v>
      </c>
    </row>
    <row r="116" spans="1:14" ht="12.75">
      <c r="A116" s="3">
        <v>50</v>
      </c>
      <c r="B116" s="3">
        <v>1</v>
      </c>
      <c r="C116" s="3">
        <v>0</v>
      </c>
      <c r="D116" s="3">
        <v>2</v>
      </c>
      <c r="E116" s="3">
        <v>0</v>
      </c>
      <c r="F116" s="3">
        <f>ROUND(Source!F104*Source!F106,2)</f>
        <v>12223.14</v>
      </c>
      <c r="G116" s="3" t="s">
        <v>130</v>
      </c>
      <c r="H116" s="3" t="s">
        <v>131</v>
      </c>
      <c r="I116" s="3"/>
      <c r="J116" s="3"/>
      <c r="K116" s="3">
        <v>212</v>
      </c>
      <c r="L116" s="3">
        <v>24</v>
      </c>
      <c r="M116" s="3">
        <v>0</v>
      </c>
      <c r="N116" s="3" t="s">
        <v>534</v>
      </c>
    </row>
    <row r="117" spans="1:14" ht="12.75">
      <c r="A117" s="3">
        <v>50</v>
      </c>
      <c r="B117" s="3">
        <v>1</v>
      </c>
      <c r="C117" s="3">
        <v>0</v>
      </c>
      <c r="D117" s="3">
        <v>2</v>
      </c>
      <c r="E117" s="3">
        <v>0</v>
      </c>
      <c r="F117" s="3">
        <f>ROUND(Source!F105*Source!F106,2)</f>
        <v>6981.08</v>
      </c>
      <c r="G117" s="3" t="s">
        <v>132</v>
      </c>
      <c r="H117" s="3" t="s">
        <v>133</v>
      </c>
      <c r="I117" s="3"/>
      <c r="J117" s="3"/>
      <c r="K117" s="3">
        <v>212</v>
      </c>
      <c r="L117" s="3">
        <v>25</v>
      </c>
      <c r="M117" s="3">
        <v>0</v>
      </c>
      <c r="N117" s="3" t="s">
        <v>534</v>
      </c>
    </row>
    <row r="118" spans="1:14" ht="12.75">
      <c r="A118" s="3">
        <v>50</v>
      </c>
      <c r="B118" s="3">
        <v>1</v>
      </c>
      <c r="C118" s="3">
        <v>0</v>
      </c>
      <c r="D118" s="3">
        <v>2</v>
      </c>
      <c r="E118" s="3">
        <v>0</v>
      </c>
      <c r="F118" s="3">
        <f>ROUND(Source!F107+Source!F111+Source!F114+Source!F116+Source!F117+Source!F115+Source!F112,2)</f>
        <v>423729.19</v>
      </c>
      <c r="G118" s="3" t="s">
        <v>134</v>
      </c>
      <c r="H118" s="3" t="s">
        <v>135</v>
      </c>
      <c r="I118" s="3"/>
      <c r="J118" s="3"/>
      <c r="K118" s="3">
        <v>212</v>
      </c>
      <c r="L118" s="3">
        <v>26</v>
      </c>
      <c r="M118" s="3">
        <v>0</v>
      </c>
      <c r="N118" s="3" t="s">
        <v>534</v>
      </c>
    </row>
    <row r="119" spans="1:14" ht="12.75">
      <c r="A119" s="3">
        <v>50</v>
      </c>
      <c r="B119" s="3">
        <v>0</v>
      </c>
      <c r="C119" s="3">
        <v>0</v>
      </c>
      <c r="D119" s="3">
        <v>2</v>
      </c>
      <c r="E119" s="3">
        <v>0</v>
      </c>
      <c r="F119" s="3">
        <f>ROUND(Source!F101+Source!F102,2)</f>
        <v>199.22</v>
      </c>
      <c r="G119" s="3" t="s">
        <v>136</v>
      </c>
      <c r="H119" s="3" t="s">
        <v>137</v>
      </c>
      <c r="I119" s="3"/>
      <c r="J119" s="3"/>
      <c r="K119" s="3">
        <v>212</v>
      </c>
      <c r="L119" s="3">
        <v>27</v>
      </c>
      <c r="M119" s="3">
        <v>3</v>
      </c>
      <c r="N119" s="3" t="s">
        <v>534</v>
      </c>
    </row>
    <row r="120" spans="1:14" ht="12.75">
      <c r="A120" s="3">
        <v>50</v>
      </c>
      <c r="B120" s="3">
        <v>0</v>
      </c>
      <c r="C120" s="3">
        <v>0</v>
      </c>
      <c r="D120" s="3">
        <v>2</v>
      </c>
      <c r="E120" s="3">
        <v>0</v>
      </c>
      <c r="F120" s="3">
        <f>ROUND(1.4*0,2)</f>
        <v>0</v>
      </c>
      <c r="G120" s="3" t="s">
        <v>138</v>
      </c>
      <c r="H120" s="3" t="s">
        <v>139</v>
      </c>
      <c r="I120" s="3"/>
      <c r="J120" s="3"/>
      <c r="K120" s="3">
        <v>212</v>
      </c>
      <c r="L120" s="3">
        <v>28</v>
      </c>
      <c r="M120" s="3">
        <v>3</v>
      </c>
      <c r="N120" s="3" t="s">
        <v>140</v>
      </c>
    </row>
    <row r="121" spans="1:14" ht="12.75">
      <c r="A121" s="3">
        <v>50</v>
      </c>
      <c r="B121" s="3">
        <v>0</v>
      </c>
      <c r="C121" s="3">
        <v>0</v>
      </c>
      <c r="D121" s="3">
        <v>2</v>
      </c>
      <c r="E121" s="3">
        <v>0</v>
      </c>
      <c r="F121" s="3">
        <f>ROUND(IF(Source!F120&gt;0,Source!F118*(Source!F120/100),0),2)</f>
        <v>0</v>
      </c>
      <c r="G121" s="3" t="s">
        <v>141</v>
      </c>
      <c r="H121" s="3" t="s">
        <v>142</v>
      </c>
      <c r="I121" s="3"/>
      <c r="J121" s="3"/>
      <c r="K121" s="3">
        <v>212</v>
      </c>
      <c r="L121" s="3">
        <v>29</v>
      </c>
      <c r="M121" s="3">
        <v>3</v>
      </c>
      <c r="N121" s="3" t="s">
        <v>534</v>
      </c>
    </row>
    <row r="122" spans="1:14" ht="12.75">
      <c r="A122" s="3">
        <v>50</v>
      </c>
      <c r="B122" s="3">
        <v>0</v>
      </c>
      <c r="C122" s="3">
        <v>0</v>
      </c>
      <c r="D122" s="3">
        <v>2</v>
      </c>
      <c r="E122" s="3">
        <v>0</v>
      </c>
      <c r="F122" s="3">
        <f>ROUND(IF(Source!F120&gt;0,Source!F118*(Source!F120/100+1),0),2)</f>
        <v>0</v>
      </c>
      <c r="G122" s="3" t="s">
        <v>143</v>
      </c>
      <c r="H122" s="3" t="s">
        <v>144</v>
      </c>
      <c r="I122" s="3"/>
      <c r="J122" s="3"/>
      <c r="K122" s="3">
        <v>212</v>
      </c>
      <c r="L122" s="3">
        <v>30</v>
      </c>
      <c r="M122" s="3">
        <v>3</v>
      </c>
      <c r="N122" s="3" t="s">
        <v>534</v>
      </c>
    </row>
    <row r="123" spans="1:14" ht="12.75">
      <c r="A123" s="3">
        <v>50</v>
      </c>
      <c r="B123" s="3">
        <v>0</v>
      </c>
      <c r="C123" s="3">
        <v>0</v>
      </c>
      <c r="D123" s="3">
        <v>2</v>
      </c>
      <c r="E123" s="3">
        <v>0</v>
      </c>
      <c r="F123" s="3">
        <f>ROUND(0,2)</f>
        <v>0</v>
      </c>
      <c r="G123" s="3" t="s">
        <v>145</v>
      </c>
      <c r="H123" s="3" t="s">
        <v>146</v>
      </c>
      <c r="I123" s="3"/>
      <c r="J123" s="3"/>
      <c r="K123" s="3">
        <v>212</v>
      </c>
      <c r="L123" s="3">
        <v>31</v>
      </c>
      <c r="M123" s="3">
        <v>3</v>
      </c>
      <c r="N123" s="3" t="s">
        <v>147</v>
      </c>
    </row>
    <row r="124" spans="1:14" ht="12.75">
      <c r="A124" s="3">
        <v>50</v>
      </c>
      <c r="B124" s="3">
        <v>0</v>
      </c>
      <c r="C124" s="3">
        <v>0</v>
      </c>
      <c r="D124" s="3">
        <v>2</v>
      </c>
      <c r="E124" s="3">
        <v>0</v>
      </c>
      <c r="F124" s="3">
        <f>ROUND(IF(Source!F123&gt;0,IF(Source!F120&gt;0,Source!F122*(Source!F123/100),Source!F118*(Source!F123/100)),0),2)</f>
        <v>0</v>
      </c>
      <c r="G124" s="3" t="s">
        <v>148</v>
      </c>
      <c r="H124" s="3" t="s">
        <v>149</v>
      </c>
      <c r="I124" s="3"/>
      <c r="J124" s="3"/>
      <c r="K124" s="3">
        <v>212</v>
      </c>
      <c r="L124" s="3">
        <v>32</v>
      </c>
      <c r="M124" s="3">
        <v>3</v>
      </c>
      <c r="N124" s="3" t="s">
        <v>534</v>
      </c>
    </row>
    <row r="125" spans="1:14" ht="12.75">
      <c r="A125" s="3">
        <v>50</v>
      </c>
      <c r="B125" s="3">
        <v>0</v>
      </c>
      <c r="C125" s="3">
        <v>0</v>
      </c>
      <c r="D125" s="3">
        <v>2</v>
      </c>
      <c r="E125" s="3">
        <v>0</v>
      </c>
      <c r="F125" s="3">
        <f>ROUND(IF(Source!F123&gt;0,IF(Source!F120&gt;0,Source!F122*(Source!F123/100+1),Source!F118*(Source!F123/100+1)),0),2)</f>
        <v>0</v>
      </c>
      <c r="G125" s="3" t="s">
        <v>150</v>
      </c>
      <c r="H125" s="3" t="s">
        <v>151</v>
      </c>
      <c r="I125" s="3"/>
      <c r="J125" s="3"/>
      <c r="K125" s="3">
        <v>212</v>
      </c>
      <c r="L125" s="3">
        <v>33</v>
      </c>
      <c r="M125" s="3">
        <v>3</v>
      </c>
      <c r="N125" s="3" t="s">
        <v>534</v>
      </c>
    </row>
    <row r="126" spans="1:14" ht="12.75">
      <c r="A126" s="3">
        <v>50</v>
      </c>
      <c r="B126" s="3">
        <v>0</v>
      </c>
      <c r="C126" s="3">
        <v>0</v>
      </c>
      <c r="D126" s="3">
        <v>2</v>
      </c>
      <c r="E126" s="3">
        <v>0</v>
      </c>
      <c r="F126" s="3">
        <f>ROUND(2*0,2)</f>
        <v>0</v>
      </c>
      <c r="G126" s="3" t="s">
        <v>152</v>
      </c>
      <c r="H126" s="3" t="s">
        <v>153</v>
      </c>
      <c r="I126" s="3"/>
      <c r="J126" s="3"/>
      <c r="K126" s="3">
        <v>212</v>
      </c>
      <c r="L126" s="3">
        <v>34</v>
      </c>
      <c r="M126" s="3">
        <v>3</v>
      </c>
      <c r="N126" s="3" t="s">
        <v>154</v>
      </c>
    </row>
    <row r="127" spans="1:14" ht="12.75">
      <c r="A127" s="3">
        <v>50</v>
      </c>
      <c r="B127" s="3">
        <v>0</v>
      </c>
      <c r="C127" s="3">
        <v>0</v>
      </c>
      <c r="D127" s="3">
        <v>2</v>
      </c>
      <c r="E127" s="3">
        <v>0</v>
      </c>
      <c r="F127" s="3">
        <f>ROUND(2*0,2)</f>
        <v>0</v>
      </c>
      <c r="G127" s="3" t="s">
        <v>155</v>
      </c>
      <c r="H127" s="3" t="s">
        <v>156</v>
      </c>
      <c r="I127" s="3"/>
      <c r="J127" s="3"/>
      <c r="K127" s="3">
        <v>212</v>
      </c>
      <c r="L127" s="3">
        <v>35</v>
      </c>
      <c r="M127" s="3">
        <v>3</v>
      </c>
      <c r="N127" s="3" t="s">
        <v>534</v>
      </c>
    </row>
    <row r="128" spans="1:14" ht="12.75">
      <c r="A128" s="3">
        <v>50</v>
      </c>
      <c r="B128" s="3">
        <v>0</v>
      </c>
      <c r="C128" s="3">
        <v>0</v>
      </c>
      <c r="D128" s="3">
        <v>2</v>
      </c>
      <c r="E128" s="3">
        <v>0</v>
      </c>
      <c r="F128" s="3">
        <f>ROUND(IF(Source!F123&gt;0,Source!F125*(Source!F126/100+1),IF(Source!F120&gt;0,Source!F122*(Source!F126/100+1),Source!F118*(Source!F126/100+1))),2)</f>
        <v>423729.19</v>
      </c>
      <c r="G128" s="3" t="s">
        <v>157</v>
      </c>
      <c r="H128" s="3" t="s">
        <v>158</v>
      </c>
      <c r="I128" s="3"/>
      <c r="J128" s="3"/>
      <c r="K128" s="3">
        <v>212</v>
      </c>
      <c r="L128" s="3">
        <v>36</v>
      </c>
      <c r="M128" s="3">
        <v>3</v>
      </c>
      <c r="N128" s="3" t="s">
        <v>534</v>
      </c>
    </row>
    <row r="129" spans="1:14" ht="12.75">
      <c r="A129" s="3">
        <v>50</v>
      </c>
      <c r="B129" s="3">
        <v>0</v>
      </c>
      <c r="C129" s="3">
        <v>0</v>
      </c>
      <c r="D129" s="3">
        <v>2</v>
      </c>
      <c r="E129" s="3">
        <v>0</v>
      </c>
      <c r="F129" s="3">
        <f>ROUND(0,2)</f>
        <v>0</v>
      </c>
      <c r="G129" s="3" t="s">
        <v>159</v>
      </c>
      <c r="H129" s="3" t="s">
        <v>160</v>
      </c>
      <c r="I129" s="3"/>
      <c r="J129" s="3"/>
      <c r="K129" s="3">
        <v>212</v>
      </c>
      <c r="L129" s="3">
        <v>37</v>
      </c>
      <c r="M129" s="3">
        <v>3</v>
      </c>
      <c r="N129" s="3" t="s">
        <v>534</v>
      </c>
    </row>
    <row r="130" spans="1:14" ht="12.75">
      <c r="A130" s="3">
        <v>50</v>
      </c>
      <c r="B130" s="3">
        <v>0</v>
      </c>
      <c r="C130" s="3">
        <v>0</v>
      </c>
      <c r="D130" s="3">
        <v>2</v>
      </c>
      <c r="E130" s="3">
        <v>0</v>
      </c>
      <c r="F130" s="3">
        <f>ROUND(IF(Source!F129&gt;0,Source!F128*Source!F129,0),2)</f>
        <v>0</v>
      </c>
      <c r="G130" s="3" t="s">
        <v>161</v>
      </c>
      <c r="H130" s="3" t="s">
        <v>162</v>
      </c>
      <c r="I130" s="3"/>
      <c r="J130" s="3"/>
      <c r="K130" s="3">
        <v>212</v>
      </c>
      <c r="L130" s="3">
        <v>38</v>
      </c>
      <c r="M130" s="3">
        <v>3</v>
      </c>
      <c r="N130" s="3" t="s">
        <v>534</v>
      </c>
    </row>
    <row r="131" spans="1:14" ht="12.75">
      <c r="A131" s="3">
        <v>50</v>
      </c>
      <c r="B131" s="3">
        <v>1</v>
      </c>
      <c r="C131" s="3">
        <v>0</v>
      </c>
      <c r="D131" s="3">
        <v>2</v>
      </c>
      <c r="E131" s="3">
        <v>0</v>
      </c>
      <c r="F131" s="3">
        <f>ROUND(IF(Source!F129&gt;0,Source!F130*0.18,Source!F128*0.18),2)</f>
        <v>76271.25</v>
      </c>
      <c r="G131" s="3" t="s">
        <v>163</v>
      </c>
      <c r="H131" s="3" t="s">
        <v>164</v>
      </c>
      <c r="I131" s="3"/>
      <c r="J131" s="3"/>
      <c r="K131" s="3">
        <v>212</v>
      </c>
      <c r="L131" s="3">
        <v>39</v>
      </c>
      <c r="M131" s="3">
        <v>0</v>
      </c>
      <c r="N131" s="3" t="s">
        <v>534</v>
      </c>
    </row>
    <row r="132" spans="1:14" ht="12.75">
      <c r="A132" s="3">
        <v>50</v>
      </c>
      <c r="B132" s="3">
        <v>1</v>
      </c>
      <c r="C132" s="3">
        <v>0</v>
      </c>
      <c r="D132" s="3">
        <v>2</v>
      </c>
      <c r="E132" s="3">
        <v>213</v>
      </c>
      <c r="F132" s="3">
        <f>ROUND(IF(Source!F129&gt;0,Source!F130+Source!F131,Source!F128+Source!F131),2)</f>
        <v>500000.44</v>
      </c>
      <c r="G132" s="3" t="s">
        <v>165</v>
      </c>
      <c r="H132" s="3" t="s">
        <v>151</v>
      </c>
      <c r="I132" s="3"/>
      <c r="J132" s="3"/>
      <c r="K132" s="3">
        <v>212</v>
      </c>
      <c r="L132" s="3">
        <v>40</v>
      </c>
      <c r="M132" s="3">
        <v>0</v>
      </c>
      <c r="N132" s="3" t="s">
        <v>534</v>
      </c>
    </row>
    <row r="135" spans="1:15" ht="12.75">
      <c r="A135">
        <v>70</v>
      </c>
      <c r="B135">
        <v>1</v>
      </c>
      <c r="D135">
        <v>0</v>
      </c>
      <c r="E135" t="s">
        <v>166</v>
      </c>
      <c r="F135" t="s">
        <v>167</v>
      </c>
      <c r="G135">
        <v>1</v>
      </c>
      <c r="H135">
        <v>1</v>
      </c>
      <c r="I135" t="s">
        <v>168</v>
      </c>
      <c r="J135">
        <v>0</v>
      </c>
      <c r="K135">
        <v>0</v>
      </c>
      <c r="N135">
        <v>0</v>
      </c>
    </row>
    <row r="136" spans="1:15" ht="12.75">
      <c r="A136">
        <v>70</v>
      </c>
      <c r="B136">
        <v>1</v>
      </c>
      <c r="D136">
        <v>0</v>
      </c>
      <c r="E136" t="s">
        <v>169</v>
      </c>
      <c r="F136" t="s">
        <v>170</v>
      </c>
      <c r="G136">
        <v>1</v>
      </c>
      <c r="H136">
        <v>1</v>
      </c>
      <c r="I136" t="s">
        <v>171</v>
      </c>
      <c r="J136">
        <v>0</v>
      </c>
      <c r="K136">
        <v>0</v>
      </c>
      <c r="N136">
        <v>0</v>
      </c>
    </row>
    <row r="137" spans="1:15" ht="12.75">
      <c r="A137">
        <v>70</v>
      </c>
      <c r="B137">
        <v>1</v>
      </c>
      <c r="D137">
        <v>0</v>
      </c>
      <c r="E137" t="s">
        <v>172</v>
      </c>
      <c r="G137">
        <v>0</v>
      </c>
      <c r="H137">
        <v>0</v>
      </c>
      <c r="I137" t="s">
        <v>173</v>
      </c>
      <c r="J137">
        <v>0</v>
      </c>
      <c r="K137">
        <v>0</v>
      </c>
      <c r="N137">
        <v>0</v>
      </c>
    </row>
    <row r="138" spans="1:15" ht="12.75">
      <c r="A138">
        <v>70</v>
      </c>
      <c r="B138">
        <v>1</v>
      </c>
      <c r="D138">
        <v>1</v>
      </c>
      <c r="E138" t="s">
        <v>174</v>
      </c>
      <c r="F138" t="s">
        <v>175</v>
      </c>
      <c r="G138">
        <v>1</v>
      </c>
      <c r="H138">
        <v>1</v>
      </c>
      <c r="I138" t="s">
        <v>176</v>
      </c>
      <c r="J138">
        <v>0</v>
      </c>
      <c r="K138">
        <v>0</v>
      </c>
      <c r="N138">
        <v>0</v>
      </c>
    </row>
    <row r="139" spans="1:15" ht="12.75">
      <c r="A139">
        <v>70</v>
      </c>
      <c r="B139">
        <v>1</v>
      </c>
      <c r="D139">
        <v>0</v>
      </c>
      <c r="E139" t="s">
        <v>177</v>
      </c>
      <c r="G139">
        <v>0</v>
      </c>
      <c r="H139">
        <v>0</v>
      </c>
      <c r="I139" t="s">
        <v>178</v>
      </c>
      <c r="J139">
        <v>0</v>
      </c>
      <c r="K139">
        <v>0</v>
      </c>
      <c r="N139">
        <v>0</v>
      </c>
    </row>
    <row r="140" spans="1:15" ht="12.75">
      <c r="A140">
        <v>70</v>
      </c>
      <c r="B140">
        <v>1</v>
      </c>
      <c r="D140">
        <v>55</v>
      </c>
      <c r="E140" t="s">
        <v>179</v>
      </c>
      <c r="F140" t="s">
        <v>180</v>
      </c>
      <c r="G140">
        <v>1</v>
      </c>
      <c r="H140">
        <v>1</v>
      </c>
      <c r="I140" t="s">
        <v>181</v>
      </c>
      <c r="J140">
        <v>0</v>
      </c>
      <c r="K140">
        <v>0</v>
      </c>
      <c r="N140">
        <v>0</v>
      </c>
    </row>
    <row r="141" spans="1:15" ht="12.75">
      <c r="A141">
        <v>70</v>
      </c>
      <c r="B141">
        <v>1</v>
      </c>
      <c r="D141">
        <v>0</v>
      </c>
      <c r="E141" t="s">
        <v>182</v>
      </c>
      <c r="F141" t="s">
        <v>183</v>
      </c>
      <c r="G141">
        <v>0</v>
      </c>
      <c r="H141">
        <v>0</v>
      </c>
      <c r="I141" t="s">
        <v>184</v>
      </c>
      <c r="J141">
        <v>0</v>
      </c>
      <c r="K141">
        <v>0</v>
      </c>
      <c r="N141">
        <v>0</v>
      </c>
    </row>
    <row r="142" spans="1:15" ht="12.75">
      <c r="A142">
        <v>70</v>
      </c>
      <c r="B142">
        <v>1</v>
      </c>
      <c r="D142">
        <v>52</v>
      </c>
      <c r="E142" t="s">
        <v>185</v>
      </c>
      <c r="F142" t="s">
        <v>186</v>
      </c>
      <c r="G142">
        <v>1</v>
      </c>
      <c r="H142">
        <v>1</v>
      </c>
      <c r="I142" t="s">
        <v>187</v>
      </c>
      <c r="J142">
        <v>0</v>
      </c>
      <c r="K142">
        <v>0</v>
      </c>
      <c r="N142">
        <v>0</v>
      </c>
    </row>
    <row r="143" spans="1:15" ht="12.75">
      <c r="A143">
        <v>70</v>
      </c>
      <c r="B143">
        <v>1</v>
      </c>
      <c r="D143">
        <v>56</v>
      </c>
      <c r="E143" t="s">
        <v>188</v>
      </c>
      <c r="F143" t="s">
        <v>189</v>
      </c>
      <c r="G143">
        <v>1</v>
      </c>
      <c r="H143">
        <v>1</v>
      </c>
      <c r="I143" t="s">
        <v>190</v>
      </c>
      <c r="J143">
        <v>0</v>
      </c>
      <c r="K143">
        <v>0</v>
      </c>
      <c r="N143">
        <v>0</v>
      </c>
    </row>
    <row r="144" spans="1:15" ht="12.75">
      <c r="A144">
        <v>70</v>
      </c>
      <c r="B144">
        <v>1</v>
      </c>
      <c r="D144">
        <v>0</v>
      </c>
      <c r="E144" t="s">
        <v>191</v>
      </c>
      <c r="F144" t="s">
        <v>192</v>
      </c>
      <c r="G144">
        <v>1</v>
      </c>
      <c r="H144">
        <v>1</v>
      </c>
      <c r="I144" t="s">
        <v>194</v>
      </c>
      <c r="J144">
        <v>0</v>
      </c>
      <c r="K144">
        <v>0</v>
      </c>
      <c r="N144">
        <v>0</v>
      </c>
      <c r="O144" t="s">
        <v>444</v>
      </c>
    </row>
    <row r="145" spans="1:15" ht="12.75">
      <c r="A145">
        <v>70</v>
      </c>
      <c r="B145">
        <v>1</v>
      </c>
      <c r="D145">
        <v>0</v>
      </c>
      <c r="E145" t="s">
        <v>195</v>
      </c>
      <c r="F145" t="s">
        <v>196</v>
      </c>
      <c r="G145">
        <v>1</v>
      </c>
      <c r="H145">
        <v>1</v>
      </c>
      <c r="I145" t="s">
        <v>197</v>
      </c>
      <c r="J145">
        <v>0</v>
      </c>
      <c r="K145">
        <v>0</v>
      </c>
      <c r="N145">
        <v>0</v>
      </c>
      <c r="O145" t="s">
        <v>445</v>
      </c>
    </row>
    <row r="146" spans="1:15" ht="12.75">
      <c r="A146">
        <v>70</v>
      </c>
      <c r="B146">
        <v>1</v>
      </c>
      <c r="D146">
        <v>0</v>
      </c>
      <c r="E146" t="s">
        <v>198</v>
      </c>
      <c r="F146" t="s">
        <v>199</v>
      </c>
      <c r="G146">
        <v>1</v>
      </c>
      <c r="H146">
        <v>1</v>
      </c>
      <c r="I146" t="s">
        <v>200</v>
      </c>
      <c r="J146">
        <v>0</v>
      </c>
      <c r="K146">
        <v>0</v>
      </c>
      <c r="N146">
        <v>0</v>
      </c>
      <c r="O146" t="s">
        <v>486</v>
      </c>
    </row>
    <row r="147" spans="1:15" ht="12.75">
      <c r="A147">
        <v>70</v>
      </c>
      <c r="B147">
        <v>1</v>
      </c>
      <c r="D147">
        <v>0</v>
      </c>
      <c r="E147" t="s">
        <v>201</v>
      </c>
      <c r="F147" t="s">
        <v>202</v>
      </c>
      <c r="G147">
        <v>0.85</v>
      </c>
      <c r="H147">
        <v>0.85</v>
      </c>
      <c r="I147" t="s">
        <v>203</v>
      </c>
      <c r="J147">
        <v>0</v>
      </c>
      <c r="K147">
        <v>0</v>
      </c>
      <c r="N147">
        <v>0</v>
      </c>
      <c r="O147" t="s">
        <v>487</v>
      </c>
    </row>
    <row r="148" spans="1:15" ht="12.75">
      <c r="A148">
        <v>70</v>
      </c>
      <c r="B148">
        <v>1</v>
      </c>
      <c r="D148">
        <v>0</v>
      </c>
      <c r="E148" t="s">
        <v>204</v>
      </c>
      <c r="F148" t="s">
        <v>205</v>
      </c>
      <c r="G148">
        <v>0.94</v>
      </c>
      <c r="H148">
        <v>0.94</v>
      </c>
      <c r="I148" t="s">
        <v>206</v>
      </c>
      <c r="J148">
        <v>0</v>
      </c>
      <c r="K148">
        <v>0</v>
      </c>
      <c r="N148">
        <v>0</v>
      </c>
      <c r="O148" t="s">
        <v>488</v>
      </c>
    </row>
    <row r="149" spans="1:15" ht="12.75">
      <c r="A149">
        <v>70</v>
      </c>
      <c r="B149">
        <v>1</v>
      </c>
      <c r="D149">
        <v>0</v>
      </c>
      <c r="E149" t="s">
        <v>207</v>
      </c>
      <c r="F149" t="s">
        <v>208</v>
      </c>
      <c r="G149">
        <v>0</v>
      </c>
      <c r="H149">
        <v>0</v>
      </c>
      <c r="I149" t="s">
        <v>209</v>
      </c>
      <c r="J149">
        <v>0</v>
      </c>
      <c r="K149">
        <v>0</v>
      </c>
      <c r="N149">
        <v>0</v>
      </c>
      <c r="O149" t="s">
        <v>489</v>
      </c>
    </row>
    <row r="150" spans="1:15" ht="12.75">
      <c r="A150">
        <v>70</v>
      </c>
      <c r="B150">
        <v>1</v>
      </c>
      <c r="D150">
        <v>0</v>
      </c>
      <c r="E150" t="s">
        <v>210</v>
      </c>
      <c r="F150" t="s">
        <v>211</v>
      </c>
      <c r="G150">
        <v>0</v>
      </c>
      <c r="H150">
        <v>0</v>
      </c>
      <c r="I150" t="s">
        <v>212</v>
      </c>
      <c r="J150">
        <v>0</v>
      </c>
      <c r="K150">
        <v>0</v>
      </c>
      <c r="N150">
        <v>0</v>
      </c>
      <c r="O150" t="s">
        <v>524</v>
      </c>
    </row>
    <row r="151" spans="1:15" ht="12.75">
      <c r="A151">
        <v>70</v>
      </c>
      <c r="B151">
        <v>1</v>
      </c>
      <c r="D151">
        <v>0</v>
      </c>
      <c r="E151" t="s">
        <v>213</v>
      </c>
      <c r="F151" t="s">
        <v>214</v>
      </c>
      <c r="G151">
        <v>1</v>
      </c>
      <c r="H151">
        <v>1</v>
      </c>
      <c r="I151" t="s">
        <v>215</v>
      </c>
      <c r="J151">
        <v>0</v>
      </c>
      <c r="K151">
        <v>0</v>
      </c>
      <c r="N151">
        <v>0</v>
      </c>
      <c r="O151" t="s">
        <v>525</v>
      </c>
    </row>
    <row r="152" spans="1:15" ht="12.75">
      <c r="A152">
        <v>70</v>
      </c>
      <c r="B152">
        <v>1</v>
      </c>
      <c r="D152">
        <v>0</v>
      </c>
      <c r="E152" t="s">
        <v>216</v>
      </c>
      <c r="F152" t="s">
        <v>217</v>
      </c>
      <c r="G152">
        <v>0</v>
      </c>
      <c r="H152">
        <v>0</v>
      </c>
      <c r="I152" t="s">
        <v>218</v>
      </c>
      <c r="J152">
        <v>0</v>
      </c>
      <c r="K152">
        <v>0</v>
      </c>
      <c r="N152">
        <v>0</v>
      </c>
      <c r="O152" t="s">
        <v>526</v>
      </c>
    </row>
    <row r="153" spans="1:15" ht="12.75">
      <c r="A153">
        <v>70</v>
      </c>
      <c r="B153">
        <v>1</v>
      </c>
      <c r="D153">
        <v>0</v>
      </c>
      <c r="E153" t="s">
        <v>219</v>
      </c>
      <c r="F153" t="s">
        <v>220</v>
      </c>
      <c r="G153">
        <v>0</v>
      </c>
      <c r="H153">
        <v>0</v>
      </c>
      <c r="I153" t="s">
        <v>221</v>
      </c>
      <c r="J153">
        <v>0</v>
      </c>
      <c r="K153">
        <v>0</v>
      </c>
      <c r="N153">
        <v>0</v>
      </c>
      <c r="O153" t="s">
        <v>527</v>
      </c>
    </row>
    <row r="154" spans="1:15" ht="12.75">
      <c r="A154">
        <v>70</v>
      </c>
      <c r="B154">
        <v>1</v>
      </c>
      <c r="D154">
        <v>0</v>
      </c>
      <c r="E154" t="s">
        <v>222</v>
      </c>
      <c r="F154" t="s">
        <v>223</v>
      </c>
      <c r="G154">
        <v>0</v>
      </c>
      <c r="H154">
        <v>0</v>
      </c>
      <c r="I154" t="s">
        <v>224</v>
      </c>
      <c r="J154">
        <v>0</v>
      </c>
      <c r="K154">
        <v>0</v>
      </c>
      <c r="N154">
        <v>0</v>
      </c>
      <c r="O154" t="s">
        <v>528</v>
      </c>
    </row>
    <row r="155" spans="1:15" ht="12.75">
      <c r="A155">
        <v>70</v>
      </c>
      <c r="B155">
        <v>1</v>
      </c>
      <c r="D155">
        <v>53</v>
      </c>
      <c r="E155" t="s">
        <v>225</v>
      </c>
      <c r="F155" t="s">
        <v>226</v>
      </c>
      <c r="G155">
        <v>0</v>
      </c>
      <c r="H155">
        <v>0</v>
      </c>
      <c r="I155" t="s">
        <v>227</v>
      </c>
      <c r="J155">
        <v>0</v>
      </c>
      <c r="K155">
        <v>0</v>
      </c>
      <c r="N155">
        <v>0</v>
      </c>
    </row>
    <row r="156" spans="1:15" ht="12.75">
      <c r="A156">
        <v>70</v>
      </c>
      <c r="B156">
        <v>1</v>
      </c>
      <c r="D156">
        <v>24</v>
      </c>
      <c r="E156" t="s">
        <v>228</v>
      </c>
      <c r="F156" t="s">
        <v>229</v>
      </c>
      <c r="G156">
        <v>1</v>
      </c>
      <c r="H156">
        <v>1.68</v>
      </c>
      <c r="I156" t="s">
        <v>230</v>
      </c>
      <c r="J156">
        <v>0</v>
      </c>
      <c r="K156">
        <v>0</v>
      </c>
      <c r="N156">
        <v>0</v>
      </c>
    </row>
    <row r="157" spans="1:15" ht="12.75">
      <c r="A157">
        <v>70</v>
      </c>
      <c r="B157">
        <v>1</v>
      </c>
      <c r="D157">
        <v>25</v>
      </c>
      <c r="E157" t="s">
        <v>231</v>
      </c>
      <c r="F157" t="s">
        <v>232</v>
      </c>
      <c r="G157">
        <v>1</v>
      </c>
      <c r="H157">
        <v>2.05</v>
      </c>
      <c r="I157" t="s">
        <v>233</v>
      </c>
      <c r="J157">
        <v>0</v>
      </c>
      <c r="K157">
        <v>0</v>
      </c>
      <c r="N157">
        <v>0</v>
      </c>
    </row>
    <row r="158" spans="1:15" ht="12.75">
      <c r="A158">
        <v>70</v>
      </c>
      <c r="B158">
        <v>1</v>
      </c>
      <c r="D158">
        <v>26</v>
      </c>
      <c r="E158" t="s">
        <v>234</v>
      </c>
      <c r="F158" t="s">
        <v>235</v>
      </c>
      <c r="G158">
        <v>1</v>
      </c>
      <c r="H158">
        <v>2.4</v>
      </c>
      <c r="I158" t="s">
        <v>236</v>
      </c>
      <c r="J158">
        <v>0</v>
      </c>
      <c r="K158">
        <v>0</v>
      </c>
      <c r="N158">
        <v>0</v>
      </c>
    </row>
    <row r="159" spans="1:15" ht="12.75">
      <c r="A159">
        <v>70</v>
      </c>
      <c r="B159">
        <v>1</v>
      </c>
      <c r="D159">
        <v>27</v>
      </c>
      <c r="E159" t="s">
        <v>237</v>
      </c>
      <c r="F159" t="s">
        <v>238</v>
      </c>
      <c r="G159">
        <v>1</v>
      </c>
      <c r="H159">
        <v>2.8</v>
      </c>
      <c r="I159" t="s">
        <v>239</v>
      </c>
      <c r="J159">
        <v>0</v>
      </c>
      <c r="K159">
        <v>0</v>
      </c>
      <c r="N159">
        <v>0</v>
      </c>
    </row>
    <row r="160" spans="1:15" ht="12.75">
      <c r="A160">
        <v>70</v>
      </c>
      <c r="B160">
        <v>1</v>
      </c>
      <c r="D160">
        <v>54</v>
      </c>
      <c r="E160" t="s">
        <v>240</v>
      </c>
      <c r="F160" t="s">
        <v>241</v>
      </c>
      <c r="G160">
        <v>0</v>
      </c>
      <c r="H160">
        <v>0</v>
      </c>
      <c r="I160" t="s">
        <v>227</v>
      </c>
      <c r="J160">
        <v>0</v>
      </c>
      <c r="K160">
        <v>0</v>
      </c>
      <c r="N160">
        <v>0</v>
      </c>
    </row>
    <row r="161" spans="1:15" ht="12.75">
      <c r="A161">
        <v>70</v>
      </c>
      <c r="B161">
        <v>1</v>
      </c>
      <c r="D161">
        <v>28</v>
      </c>
      <c r="E161" t="s">
        <v>242</v>
      </c>
      <c r="F161" t="s">
        <v>243</v>
      </c>
      <c r="G161">
        <v>1</v>
      </c>
      <c r="H161">
        <v>3</v>
      </c>
      <c r="I161" t="s">
        <v>244</v>
      </c>
      <c r="J161">
        <v>0</v>
      </c>
      <c r="K161">
        <v>0</v>
      </c>
      <c r="N161">
        <v>0</v>
      </c>
    </row>
    <row r="162" spans="1:15" ht="12.75">
      <c r="A162">
        <v>70</v>
      </c>
      <c r="B162">
        <v>1</v>
      </c>
      <c r="D162">
        <v>29</v>
      </c>
      <c r="E162" t="s">
        <v>245</v>
      </c>
      <c r="F162" t="s">
        <v>246</v>
      </c>
      <c r="G162">
        <v>1</v>
      </c>
      <c r="H162">
        <v>2</v>
      </c>
      <c r="I162" t="s">
        <v>247</v>
      </c>
      <c r="J162">
        <v>0</v>
      </c>
      <c r="K162">
        <v>0</v>
      </c>
      <c r="N162">
        <v>0</v>
      </c>
    </row>
    <row r="163" spans="1:15" ht="12.75">
      <c r="A163">
        <v>70</v>
      </c>
      <c r="B163">
        <v>1</v>
      </c>
      <c r="D163">
        <v>2</v>
      </c>
      <c r="E163" t="s">
        <v>248</v>
      </c>
      <c r="F163" t="s">
        <v>249</v>
      </c>
      <c r="G163">
        <v>1</v>
      </c>
      <c r="H163">
        <v>1.2</v>
      </c>
      <c r="I163" t="s">
        <v>250</v>
      </c>
      <c r="J163">
        <v>0</v>
      </c>
      <c r="K163">
        <v>0</v>
      </c>
      <c r="N163">
        <v>0</v>
      </c>
    </row>
    <row r="164" spans="1:15" ht="12.75">
      <c r="A164">
        <v>70</v>
      </c>
      <c r="B164">
        <v>1</v>
      </c>
      <c r="D164">
        <v>4</v>
      </c>
      <c r="E164" t="s">
        <v>251</v>
      </c>
      <c r="F164" t="s">
        <v>252</v>
      </c>
      <c r="G164">
        <v>1</v>
      </c>
      <c r="H164">
        <v>1.2</v>
      </c>
      <c r="I164" t="s">
        <v>253</v>
      </c>
      <c r="J164">
        <v>0</v>
      </c>
      <c r="K164">
        <v>0</v>
      </c>
      <c r="N164">
        <v>0</v>
      </c>
    </row>
    <row r="165" spans="1:15" ht="12.75">
      <c r="A165">
        <v>70</v>
      </c>
      <c r="B165">
        <v>1</v>
      </c>
      <c r="D165">
        <v>3</v>
      </c>
      <c r="E165" t="s">
        <v>254</v>
      </c>
      <c r="F165" t="s">
        <v>255</v>
      </c>
      <c r="G165">
        <v>1</v>
      </c>
      <c r="H165">
        <v>1.35</v>
      </c>
      <c r="I165" t="s">
        <v>269</v>
      </c>
      <c r="J165">
        <v>0</v>
      </c>
      <c r="K165">
        <v>0</v>
      </c>
      <c r="N165">
        <v>0</v>
      </c>
    </row>
    <row r="166" spans="1:15" ht="12.75">
      <c r="A166">
        <v>70</v>
      </c>
      <c r="B166">
        <v>1</v>
      </c>
      <c r="D166">
        <v>6</v>
      </c>
      <c r="E166" t="s">
        <v>270</v>
      </c>
      <c r="F166" t="s">
        <v>271</v>
      </c>
      <c r="G166">
        <v>1</v>
      </c>
      <c r="H166">
        <v>1.5</v>
      </c>
      <c r="I166" t="s">
        <v>272</v>
      </c>
      <c r="J166">
        <v>0</v>
      </c>
      <c r="K166">
        <v>0</v>
      </c>
      <c r="N166">
        <v>0</v>
      </c>
    </row>
    <row r="167" spans="1:15" ht="12.75">
      <c r="A167">
        <v>70</v>
      </c>
      <c r="B167">
        <v>1</v>
      </c>
      <c r="D167">
        <v>7</v>
      </c>
      <c r="E167" t="s">
        <v>273</v>
      </c>
      <c r="F167" t="s">
        <v>274</v>
      </c>
      <c r="G167">
        <v>1</v>
      </c>
      <c r="H167">
        <v>1.5</v>
      </c>
      <c r="I167" t="s">
        <v>275</v>
      </c>
      <c r="J167">
        <v>0</v>
      </c>
      <c r="K167">
        <v>0</v>
      </c>
      <c r="N167">
        <v>0</v>
      </c>
    </row>
    <row r="168" spans="1:15" ht="12.75">
      <c r="A168">
        <v>70</v>
      </c>
      <c r="B168">
        <v>1</v>
      </c>
      <c r="D168">
        <v>8</v>
      </c>
      <c r="E168" t="s">
        <v>276</v>
      </c>
      <c r="F168" t="s">
        <v>277</v>
      </c>
      <c r="G168">
        <v>1</v>
      </c>
      <c r="H168">
        <v>1.35</v>
      </c>
      <c r="I168" t="s">
        <v>278</v>
      </c>
      <c r="J168">
        <v>0</v>
      </c>
      <c r="K168">
        <v>0</v>
      </c>
      <c r="N168">
        <v>0</v>
      </c>
    </row>
    <row r="169" spans="1:15" ht="12.75">
      <c r="A169">
        <v>70</v>
      </c>
      <c r="B169">
        <v>1</v>
      </c>
      <c r="D169">
        <v>9</v>
      </c>
      <c r="E169" t="s">
        <v>279</v>
      </c>
      <c r="F169" t="s">
        <v>280</v>
      </c>
      <c r="G169">
        <v>1</v>
      </c>
      <c r="H169">
        <v>1.7</v>
      </c>
      <c r="I169" t="s">
        <v>281</v>
      </c>
      <c r="J169">
        <v>0</v>
      </c>
      <c r="K169">
        <v>0</v>
      </c>
      <c r="N169">
        <v>0</v>
      </c>
    </row>
    <row r="170" spans="1:15" ht="12.75">
      <c r="A170">
        <v>70</v>
      </c>
      <c r="B170">
        <v>1</v>
      </c>
      <c r="D170">
        <v>10</v>
      </c>
      <c r="E170" t="s">
        <v>282</v>
      </c>
      <c r="F170" t="s">
        <v>277</v>
      </c>
      <c r="G170">
        <v>1</v>
      </c>
      <c r="H170">
        <v>1.55</v>
      </c>
      <c r="I170" t="s">
        <v>283</v>
      </c>
      <c r="J170">
        <v>0</v>
      </c>
      <c r="K170">
        <v>0</v>
      </c>
      <c r="N170">
        <v>0</v>
      </c>
    </row>
    <row r="171" spans="1:15" ht="12.75">
      <c r="A171">
        <v>70</v>
      </c>
      <c r="B171">
        <v>1</v>
      </c>
      <c r="D171">
        <v>11</v>
      </c>
      <c r="E171" t="s">
        <v>284</v>
      </c>
      <c r="F171" t="s">
        <v>285</v>
      </c>
      <c r="G171">
        <v>1</v>
      </c>
      <c r="H171">
        <v>2.05</v>
      </c>
      <c r="I171" t="s">
        <v>286</v>
      </c>
      <c r="J171">
        <v>0</v>
      </c>
      <c r="K171">
        <v>0</v>
      </c>
      <c r="N171">
        <v>0</v>
      </c>
    </row>
    <row r="172" spans="1:15" ht="12.75">
      <c r="A172">
        <v>70</v>
      </c>
      <c r="B172">
        <v>1</v>
      </c>
      <c r="D172">
        <v>12</v>
      </c>
      <c r="E172" t="s">
        <v>287</v>
      </c>
      <c r="F172" t="s">
        <v>288</v>
      </c>
      <c r="G172">
        <v>1</v>
      </c>
      <c r="H172">
        <v>1.9</v>
      </c>
      <c r="I172" t="s">
        <v>289</v>
      </c>
      <c r="J172">
        <v>0</v>
      </c>
      <c r="K172">
        <v>0</v>
      </c>
      <c r="N172">
        <v>0</v>
      </c>
    </row>
    <row r="173" spans="1:15" ht="12.75">
      <c r="A173">
        <v>70</v>
      </c>
      <c r="B173">
        <v>1</v>
      </c>
      <c r="D173">
        <v>13</v>
      </c>
      <c r="E173" t="s">
        <v>290</v>
      </c>
      <c r="F173" t="s">
        <v>291</v>
      </c>
      <c r="G173">
        <v>1</v>
      </c>
      <c r="H173">
        <v>2.3</v>
      </c>
      <c r="I173" t="s">
        <v>292</v>
      </c>
      <c r="J173">
        <v>0</v>
      </c>
      <c r="K173">
        <v>0</v>
      </c>
      <c r="N173">
        <v>0</v>
      </c>
    </row>
    <row r="174" spans="1:15" ht="12.75">
      <c r="A174">
        <v>70</v>
      </c>
      <c r="B174">
        <v>1</v>
      </c>
      <c r="D174">
        <v>14</v>
      </c>
      <c r="E174" t="s">
        <v>293</v>
      </c>
      <c r="F174" t="s">
        <v>288</v>
      </c>
      <c r="G174">
        <v>1</v>
      </c>
      <c r="H174">
        <v>2.15</v>
      </c>
      <c r="I174" t="s">
        <v>294</v>
      </c>
      <c r="J174">
        <v>0</v>
      </c>
      <c r="K174">
        <v>0</v>
      </c>
      <c r="N174">
        <v>0</v>
      </c>
    </row>
    <row r="175" spans="1:15" ht="12.75">
      <c r="A175">
        <v>70</v>
      </c>
      <c r="B175">
        <v>1</v>
      </c>
      <c r="D175">
        <v>15</v>
      </c>
      <c r="E175" t="s">
        <v>295</v>
      </c>
      <c r="F175" t="s">
        <v>296</v>
      </c>
      <c r="G175">
        <v>1</v>
      </c>
      <c r="H175">
        <v>1.15</v>
      </c>
      <c r="I175" t="s">
        <v>297</v>
      </c>
      <c r="J175">
        <v>0</v>
      </c>
      <c r="K175">
        <v>0</v>
      </c>
      <c r="N175">
        <v>0</v>
      </c>
    </row>
    <row r="176" spans="1:15" ht="12.75">
      <c r="A176">
        <v>70</v>
      </c>
      <c r="B176">
        <v>1</v>
      </c>
      <c r="D176">
        <v>16</v>
      </c>
      <c r="E176" t="s">
        <v>298</v>
      </c>
      <c r="F176" t="s">
        <v>299</v>
      </c>
      <c r="G176">
        <v>1</v>
      </c>
      <c r="H176">
        <v>1.25</v>
      </c>
      <c r="I176" t="s">
        <v>300</v>
      </c>
      <c r="J176">
        <v>0</v>
      </c>
      <c r="K176">
        <v>0</v>
      </c>
      <c r="N176">
        <v>0</v>
      </c>
    </row>
    <row r="177" spans="1:15" ht="12.75">
      <c r="A177">
        <v>70</v>
      </c>
      <c r="B177">
        <v>1</v>
      </c>
      <c r="D177">
        <v>17</v>
      </c>
      <c r="E177" t="s">
        <v>301</v>
      </c>
      <c r="F177" t="s">
        <v>302</v>
      </c>
      <c r="G177">
        <v>1</v>
      </c>
      <c r="H177">
        <v>1.2</v>
      </c>
      <c r="I177" t="s">
        <v>303</v>
      </c>
      <c r="J177">
        <v>0</v>
      </c>
      <c r="K177">
        <v>0</v>
      </c>
      <c r="N177">
        <v>0</v>
      </c>
    </row>
    <row r="178" spans="1:15" ht="12.75">
      <c r="A178">
        <v>70</v>
      </c>
      <c r="B178">
        <v>1</v>
      </c>
      <c r="D178">
        <v>18</v>
      </c>
      <c r="E178" t="s">
        <v>304</v>
      </c>
      <c r="F178" t="s">
        <v>305</v>
      </c>
      <c r="G178">
        <v>1</v>
      </c>
      <c r="H178">
        <v>1.1</v>
      </c>
      <c r="I178" t="s">
        <v>306</v>
      </c>
      <c r="J178">
        <v>0</v>
      </c>
      <c r="K178">
        <v>0</v>
      </c>
      <c r="N178">
        <v>0</v>
      </c>
    </row>
    <row r="179" spans="1:15" ht="12.75">
      <c r="A179">
        <v>70</v>
      </c>
      <c r="B179">
        <v>1</v>
      </c>
      <c r="D179">
        <v>19</v>
      </c>
      <c r="E179" t="s">
        <v>307</v>
      </c>
      <c r="F179" t="s">
        <v>308</v>
      </c>
      <c r="G179">
        <v>1</v>
      </c>
      <c r="H179">
        <v>1.15</v>
      </c>
      <c r="I179" t="s">
        <v>309</v>
      </c>
      <c r="J179">
        <v>0</v>
      </c>
      <c r="K179">
        <v>0</v>
      </c>
      <c r="N179">
        <v>0</v>
      </c>
    </row>
    <row r="180" spans="1:15" ht="12.75">
      <c r="A180">
        <v>70</v>
      </c>
      <c r="B180">
        <v>1</v>
      </c>
      <c r="D180">
        <v>20</v>
      </c>
      <c r="E180" t="s">
        <v>310</v>
      </c>
      <c r="F180" t="s">
        <v>311</v>
      </c>
      <c r="G180">
        <v>1</v>
      </c>
      <c r="H180">
        <v>1.15</v>
      </c>
      <c r="I180" t="s">
        <v>312</v>
      </c>
      <c r="J180">
        <v>0</v>
      </c>
      <c r="K180">
        <v>0</v>
      </c>
      <c r="N180">
        <v>0</v>
      </c>
    </row>
    <row r="181" spans="1:15" ht="12.75">
      <c r="A181">
        <v>70</v>
      </c>
      <c r="B181">
        <v>1</v>
      </c>
      <c r="D181">
        <v>21</v>
      </c>
      <c r="E181" t="s">
        <v>313</v>
      </c>
      <c r="F181" t="s">
        <v>314</v>
      </c>
      <c r="G181">
        <v>1</v>
      </c>
      <c r="H181">
        <v>1.25</v>
      </c>
      <c r="I181" t="s">
        <v>315</v>
      </c>
      <c r="J181">
        <v>0</v>
      </c>
      <c r="K181">
        <v>0</v>
      </c>
      <c r="N181">
        <v>0</v>
      </c>
    </row>
    <row r="182" spans="1:15" ht="12.75">
      <c r="A182">
        <v>70</v>
      </c>
      <c r="B182">
        <v>1</v>
      </c>
      <c r="D182">
        <v>22</v>
      </c>
      <c r="E182" t="s">
        <v>316</v>
      </c>
      <c r="F182" t="s">
        <v>317</v>
      </c>
      <c r="G182">
        <v>1</v>
      </c>
      <c r="H182">
        <v>1.35</v>
      </c>
      <c r="I182" t="s">
        <v>318</v>
      </c>
      <c r="J182">
        <v>0</v>
      </c>
      <c r="K182">
        <v>0</v>
      </c>
      <c r="N182">
        <v>0</v>
      </c>
    </row>
    <row r="183" spans="1:15" ht="12.75">
      <c r="A183">
        <v>70</v>
      </c>
      <c r="B183">
        <v>1</v>
      </c>
      <c r="D183">
        <v>23</v>
      </c>
      <c r="E183" t="s">
        <v>319</v>
      </c>
      <c r="F183" t="s">
        <v>320</v>
      </c>
      <c r="G183">
        <v>1</v>
      </c>
      <c r="H183">
        <v>1.5</v>
      </c>
      <c r="I183" t="s">
        <v>321</v>
      </c>
      <c r="J183">
        <v>0</v>
      </c>
      <c r="K183">
        <v>0</v>
      </c>
      <c r="N183">
        <v>0</v>
      </c>
    </row>
    <row r="184" spans="1:15" ht="12.75">
      <c r="A184">
        <v>70</v>
      </c>
      <c r="B184">
        <v>1</v>
      </c>
      <c r="D184">
        <v>44</v>
      </c>
      <c r="E184" t="s">
        <v>322</v>
      </c>
      <c r="F184" t="s">
        <v>323</v>
      </c>
      <c r="G184">
        <v>1</v>
      </c>
      <c r="H184">
        <v>1.35</v>
      </c>
      <c r="I184" t="s">
        <v>324</v>
      </c>
      <c r="J184">
        <v>0</v>
      </c>
      <c r="K184">
        <v>0</v>
      </c>
      <c r="N184">
        <v>0</v>
      </c>
    </row>
    <row r="185" spans="1:15" ht="12.75">
      <c r="A185">
        <v>70</v>
      </c>
      <c r="B185">
        <v>1</v>
      </c>
      <c r="D185">
        <v>46</v>
      </c>
      <c r="E185" t="s">
        <v>325</v>
      </c>
      <c r="F185" t="s">
        <v>326</v>
      </c>
      <c r="G185">
        <v>0</v>
      </c>
      <c r="H185">
        <v>0</v>
      </c>
      <c r="I185" t="s">
        <v>227</v>
      </c>
      <c r="J185">
        <v>0</v>
      </c>
      <c r="K185">
        <v>0</v>
      </c>
      <c r="N185">
        <v>0</v>
      </c>
    </row>
    <row r="186" spans="1:15" ht="12.75">
      <c r="A186">
        <v>70</v>
      </c>
      <c r="B186">
        <v>1</v>
      </c>
      <c r="D186">
        <v>47</v>
      </c>
      <c r="E186" t="s">
        <v>327</v>
      </c>
      <c r="F186" t="s">
        <v>328</v>
      </c>
      <c r="G186">
        <v>1</v>
      </c>
      <c r="H186">
        <v>1.15</v>
      </c>
      <c r="I186" t="s">
        <v>329</v>
      </c>
      <c r="J186">
        <v>0</v>
      </c>
      <c r="K186">
        <v>0</v>
      </c>
      <c r="N186">
        <v>0</v>
      </c>
    </row>
    <row r="187" spans="1:15" ht="12.75">
      <c r="A187">
        <v>70</v>
      </c>
      <c r="B187">
        <v>1</v>
      </c>
      <c r="D187">
        <v>48</v>
      </c>
      <c r="E187" t="s">
        <v>330</v>
      </c>
      <c r="F187" t="s">
        <v>331</v>
      </c>
      <c r="G187">
        <v>1</v>
      </c>
      <c r="H187">
        <v>1.25</v>
      </c>
      <c r="I187" t="s">
        <v>332</v>
      </c>
      <c r="J187">
        <v>0</v>
      </c>
      <c r="K187">
        <v>0</v>
      </c>
      <c r="N187">
        <v>0</v>
      </c>
    </row>
    <row r="188" spans="1:15" ht="12.75">
      <c r="A188">
        <v>70</v>
      </c>
      <c r="B188">
        <v>1</v>
      </c>
      <c r="D188">
        <v>49</v>
      </c>
      <c r="E188" t="s">
        <v>333</v>
      </c>
      <c r="F188" t="s">
        <v>334</v>
      </c>
      <c r="G188">
        <v>1</v>
      </c>
      <c r="H188">
        <v>1.1</v>
      </c>
      <c r="I188" t="s">
        <v>335</v>
      </c>
      <c r="J188">
        <v>0</v>
      </c>
      <c r="K188">
        <v>0</v>
      </c>
      <c r="N188">
        <v>0</v>
      </c>
    </row>
    <row r="189" spans="1:15" ht="12.75">
      <c r="A189">
        <v>70</v>
      </c>
      <c r="B189">
        <v>1</v>
      </c>
      <c r="D189">
        <v>45</v>
      </c>
      <c r="E189" t="s">
        <v>336</v>
      </c>
      <c r="F189" t="s">
        <v>337</v>
      </c>
      <c r="G189">
        <v>1</v>
      </c>
      <c r="H189">
        <v>1.5</v>
      </c>
      <c r="I189" t="s">
        <v>338</v>
      </c>
      <c r="J189">
        <v>0</v>
      </c>
      <c r="K189">
        <v>0</v>
      </c>
      <c r="N189">
        <v>0</v>
      </c>
    </row>
    <row r="190" spans="1:15" ht="12.75">
      <c r="A190">
        <v>70</v>
      </c>
      <c r="B190">
        <v>1</v>
      </c>
      <c r="D190">
        <v>51</v>
      </c>
      <c r="E190" t="s">
        <v>339</v>
      </c>
      <c r="F190" t="s">
        <v>340</v>
      </c>
      <c r="G190">
        <v>1</v>
      </c>
      <c r="H190">
        <v>1.1</v>
      </c>
      <c r="I190" t="s">
        <v>341</v>
      </c>
      <c r="J190">
        <v>0</v>
      </c>
      <c r="K190">
        <v>0</v>
      </c>
      <c r="N190">
        <v>0</v>
      </c>
    </row>
    <row r="191" spans="1:15" ht="12.75">
      <c r="A191">
        <v>70</v>
      </c>
      <c r="B191">
        <v>1</v>
      </c>
      <c r="D191">
        <v>50</v>
      </c>
      <c r="E191" t="s">
        <v>342</v>
      </c>
      <c r="F191" t="s">
        <v>343</v>
      </c>
      <c r="G191">
        <v>1</v>
      </c>
      <c r="H191">
        <v>1.35</v>
      </c>
      <c r="I191" t="s">
        <v>344</v>
      </c>
      <c r="J191">
        <v>0</v>
      </c>
      <c r="K191">
        <v>0</v>
      </c>
      <c r="N191">
        <v>0</v>
      </c>
    </row>
    <row r="192" spans="1:15" ht="12.75">
      <c r="A192">
        <v>70</v>
      </c>
      <c r="B192">
        <v>1</v>
      </c>
      <c r="D192">
        <v>0</v>
      </c>
      <c r="E192" t="s">
        <v>345</v>
      </c>
      <c r="F192" t="s">
        <v>346</v>
      </c>
      <c r="G192">
        <v>1</v>
      </c>
      <c r="H192">
        <v>0</v>
      </c>
      <c r="I192" t="s">
        <v>347</v>
      </c>
      <c r="J192">
        <v>0</v>
      </c>
      <c r="K192">
        <v>0</v>
      </c>
      <c r="N192">
        <v>0</v>
      </c>
    </row>
    <row r="193" spans="1:15" ht="12.75">
      <c r="A193">
        <v>70</v>
      </c>
      <c r="B193">
        <v>1</v>
      </c>
      <c r="D193">
        <v>0</v>
      </c>
      <c r="E193" t="s">
        <v>348</v>
      </c>
      <c r="F193" t="s">
        <v>349</v>
      </c>
      <c r="G193">
        <v>0</v>
      </c>
      <c r="H193">
        <v>0</v>
      </c>
      <c r="I193" t="s">
        <v>350</v>
      </c>
      <c r="J193">
        <v>0</v>
      </c>
      <c r="K193">
        <v>0</v>
      </c>
      <c r="N193">
        <v>0</v>
      </c>
      <c r="O193" t="s">
        <v>529</v>
      </c>
    </row>
    <row r="194" spans="1:15" ht="12.75">
      <c r="A194">
        <v>70</v>
      </c>
      <c r="B194">
        <v>1</v>
      </c>
      <c r="D194">
        <v>0</v>
      </c>
      <c r="E194" t="s">
        <v>351</v>
      </c>
      <c r="F194" t="s">
        <v>352</v>
      </c>
      <c r="G194">
        <v>0</v>
      </c>
      <c r="H194">
        <v>0</v>
      </c>
      <c r="I194" t="s">
        <v>353</v>
      </c>
      <c r="J194">
        <v>0</v>
      </c>
      <c r="K194">
        <v>0</v>
      </c>
      <c r="N194">
        <v>0</v>
      </c>
      <c r="O194" t="s">
        <v>530</v>
      </c>
    </row>
    <row r="197" spans="1:5" ht="12.75">
      <c r="A197">
        <v>65</v>
      </c>
      <c r="C197">
        <v>1</v>
      </c>
      <c r="D197">
        <v>0</v>
      </c>
      <c r="E197">
        <v>200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B71"/>
  <sheetViews>
    <sheetView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ROW(Source!A24)</f>
        <v>24</v>
      </c>
      <c r="B1">
        <v>14724225</v>
      </c>
      <c r="C1">
        <v>14724224</v>
      </c>
      <c r="D1">
        <v>12171590</v>
      </c>
      <c r="E1">
        <v>1</v>
      </c>
      <c r="F1">
        <v>1</v>
      </c>
      <c r="G1">
        <v>1</v>
      </c>
      <c r="H1">
        <v>1</v>
      </c>
      <c r="I1" t="s">
        <v>354</v>
      </c>
      <c r="K1" t="s">
        <v>355</v>
      </c>
      <c r="L1">
        <v>1369</v>
      </c>
      <c r="N1">
        <v>1013</v>
      </c>
      <c r="O1" t="s">
        <v>356</v>
      </c>
      <c r="P1" t="s">
        <v>356</v>
      </c>
      <c r="Q1">
        <v>1</v>
      </c>
      <c r="Y1">
        <v>27.8185</v>
      </c>
      <c r="AA1">
        <v>0</v>
      </c>
      <c r="AB1">
        <v>0</v>
      </c>
      <c r="AC1">
        <v>0</v>
      </c>
      <c r="AD1">
        <v>8.09</v>
      </c>
      <c r="AN1">
        <v>0</v>
      </c>
      <c r="AO1">
        <v>1</v>
      </c>
      <c r="AP1">
        <v>1</v>
      </c>
      <c r="AQ1">
        <v>0</v>
      </c>
      <c r="AR1">
        <v>0</v>
      </c>
      <c r="AT1">
        <v>24.19</v>
      </c>
      <c r="AU1" t="s">
        <v>552</v>
      </c>
      <c r="AV1">
        <v>1</v>
      </c>
      <c r="AW1">
        <v>2</v>
      </c>
      <c r="AX1">
        <v>14724234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ROW(Source!A24)</f>
        <v>24</v>
      </c>
      <c r="B2">
        <v>14724226</v>
      </c>
      <c r="C2">
        <v>14724224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566</v>
      </c>
      <c r="K2" t="s">
        <v>357</v>
      </c>
      <c r="L2">
        <v>1369</v>
      </c>
      <c r="N2">
        <v>1013</v>
      </c>
      <c r="O2" t="s">
        <v>356</v>
      </c>
      <c r="P2" t="s">
        <v>356</v>
      </c>
      <c r="Q2">
        <v>1</v>
      </c>
      <c r="Y2">
        <v>25.75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1</v>
      </c>
      <c r="AQ2">
        <v>0</v>
      </c>
      <c r="AR2">
        <v>0</v>
      </c>
      <c r="AT2">
        <v>20.6</v>
      </c>
      <c r="AU2" t="s">
        <v>551</v>
      </c>
      <c r="AV2">
        <v>2</v>
      </c>
      <c r="AW2">
        <v>2</v>
      </c>
      <c r="AX2">
        <v>14724235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ROW(Source!A24)</f>
        <v>24</v>
      </c>
      <c r="B3">
        <v>14724227</v>
      </c>
      <c r="C3">
        <v>14724224</v>
      </c>
      <c r="D3">
        <v>10782254</v>
      </c>
      <c r="E3">
        <v>1</v>
      </c>
      <c r="F3">
        <v>1</v>
      </c>
      <c r="G3">
        <v>1</v>
      </c>
      <c r="H3">
        <v>2</v>
      </c>
      <c r="I3" t="s">
        <v>358</v>
      </c>
      <c r="J3" t="s">
        <v>359</v>
      </c>
      <c r="K3" t="s">
        <v>360</v>
      </c>
      <c r="L3">
        <v>1480</v>
      </c>
      <c r="N3">
        <v>1013</v>
      </c>
      <c r="O3" t="s">
        <v>361</v>
      </c>
      <c r="P3" t="s">
        <v>362</v>
      </c>
      <c r="Q3">
        <v>1</v>
      </c>
      <c r="Y3">
        <v>3.075</v>
      </c>
      <c r="AA3">
        <v>0</v>
      </c>
      <c r="AB3">
        <v>89.99</v>
      </c>
      <c r="AC3">
        <v>10.06</v>
      </c>
      <c r="AD3">
        <v>0</v>
      </c>
      <c r="AN3">
        <v>0</v>
      </c>
      <c r="AO3">
        <v>1</v>
      </c>
      <c r="AP3">
        <v>1</v>
      </c>
      <c r="AQ3">
        <v>0</v>
      </c>
      <c r="AR3">
        <v>0</v>
      </c>
      <c r="AT3">
        <v>2.46</v>
      </c>
      <c r="AU3" t="s">
        <v>551</v>
      </c>
      <c r="AV3">
        <v>0</v>
      </c>
      <c r="AW3">
        <v>2</v>
      </c>
      <c r="AX3">
        <v>14724236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ROW(Source!A24)</f>
        <v>24</v>
      </c>
      <c r="B4">
        <v>14724228</v>
      </c>
      <c r="C4">
        <v>14724224</v>
      </c>
      <c r="D4">
        <v>10776639</v>
      </c>
      <c r="E4">
        <v>1</v>
      </c>
      <c r="F4">
        <v>1</v>
      </c>
      <c r="G4">
        <v>1</v>
      </c>
      <c r="H4">
        <v>2</v>
      </c>
      <c r="I4" t="s">
        <v>363</v>
      </c>
      <c r="J4" t="s">
        <v>364</v>
      </c>
      <c r="K4" t="s">
        <v>365</v>
      </c>
      <c r="L4">
        <v>1480</v>
      </c>
      <c r="N4">
        <v>1013</v>
      </c>
      <c r="O4" t="s">
        <v>361</v>
      </c>
      <c r="P4" t="s">
        <v>362</v>
      </c>
      <c r="Q4">
        <v>1</v>
      </c>
      <c r="Y4">
        <v>3.2375</v>
      </c>
      <c r="AA4">
        <v>0</v>
      </c>
      <c r="AB4">
        <v>80.01</v>
      </c>
      <c r="AC4">
        <v>14.4</v>
      </c>
      <c r="AD4">
        <v>0</v>
      </c>
      <c r="AN4">
        <v>0</v>
      </c>
      <c r="AO4">
        <v>1</v>
      </c>
      <c r="AP4">
        <v>1</v>
      </c>
      <c r="AQ4">
        <v>0</v>
      </c>
      <c r="AR4">
        <v>0</v>
      </c>
      <c r="AT4">
        <v>2.59</v>
      </c>
      <c r="AU4" t="s">
        <v>551</v>
      </c>
      <c r="AV4">
        <v>0</v>
      </c>
      <c r="AW4">
        <v>2</v>
      </c>
      <c r="AX4">
        <v>14724237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ROW(Source!A24)</f>
        <v>24</v>
      </c>
      <c r="B5">
        <v>14724229</v>
      </c>
      <c r="C5">
        <v>14724224</v>
      </c>
      <c r="D5">
        <v>10776530</v>
      </c>
      <c r="E5">
        <v>1</v>
      </c>
      <c r="F5">
        <v>1</v>
      </c>
      <c r="G5">
        <v>1</v>
      </c>
      <c r="H5">
        <v>2</v>
      </c>
      <c r="I5" t="s">
        <v>366</v>
      </c>
      <c r="J5" t="s">
        <v>367</v>
      </c>
      <c r="K5" t="s">
        <v>368</v>
      </c>
      <c r="L5">
        <v>1480</v>
      </c>
      <c r="N5">
        <v>1013</v>
      </c>
      <c r="O5" t="s">
        <v>361</v>
      </c>
      <c r="P5" t="s">
        <v>362</v>
      </c>
      <c r="Q5">
        <v>1</v>
      </c>
      <c r="Y5">
        <v>2.875</v>
      </c>
      <c r="AA5">
        <v>0</v>
      </c>
      <c r="AB5">
        <v>123</v>
      </c>
      <c r="AC5">
        <v>13.5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2.3</v>
      </c>
      <c r="AU5" t="s">
        <v>551</v>
      </c>
      <c r="AV5">
        <v>0</v>
      </c>
      <c r="AW5">
        <v>2</v>
      </c>
      <c r="AX5">
        <v>14724238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ROW(Source!A24)</f>
        <v>24</v>
      </c>
      <c r="B6">
        <v>14724230</v>
      </c>
      <c r="C6">
        <v>14724224</v>
      </c>
      <c r="D6">
        <v>11001039</v>
      </c>
      <c r="E6">
        <v>1</v>
      </c>
      <c r="F6">
        <v>1</v>
      </c>
      <c r="G6">
        <v>1</v>
      </c>
      <c r="H6">
        <v>2</v>
      </c>
      <c r="I6" t="s">
        <v>369</v>
      </c>
      <c r="J6" t="s">
        <v>370</v>
      </c>
      <c r="K6" t="s">
        <v>371</v>
      </c>
      <c r="L6">
        <v>1480</v>
      </c>
      <c r="N6">
        <v>1013</v>
      </c>
      <c r="O6" t="s">
        <v>361</v>
      </c>
      <c r="P6" t="s">
        <v>362</v>
      </c>
      <c r="Q6">
        <v>1</v>
      </c>
      <c r="Y6">
        <v>15.2625</v>
      </c>
      <c r="AA6">
        <v>0</v>
      </c>
      <c r="AB6">
        <v>206.01</v>
      </c>
      <c r="AC6">
        <v>14.4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12.21</v>
      </c>
      <c r="AU6" t="s">
        <v>551</v>
      </c>
      <c r="AV6">
        <v>0</v>
      </c>
      <c r="AW6">
        <v>2</v>
      </c>
      <c r="AX6">
        <v>14724239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ROW(Source!A24)</f>
        <v>24</v>
      </c>
      <c r="B7">
        <v>14724231</v>
      </c>
      <c r="C7">
        <v>14724224</v>
      </c>
      <c r="D7">
        <v>10772483</v>
      </c>
      <c r="E7">
        <v>1</v>
      </c>
      <c r="F7">
        <v>1</v>
      </c>
      <c r="G7">
        <v>1</v>
      </c>
      <c r="H7">
        <v>2</v>
      </c>
      <c r="I7" t="s">
        <v>372</v>
      </c>
      <c r="J7" t="s">
        <v>373</v>
      </c>
      <c r="K7" t="s">
        <v>374</v>
      </c>
      <c r="L7">
        <v>1480</v>
      </c>
      <c r="N7">
        <v>1013</v>
      </c>
      <c r="O7" t="s">
        <v>361</v>
      </c>
      <c r="P7" t="s">
        <v>362</v>
      </c>
      <c r="Q7">
        <v>1</v>
      </c>
      <c r="Y7">
        <v>1.3</v>
      </c>
      <c r="AA7">
        <v>0</v>
      </c>
      <c r="AB7">
        <v>110</v>
      </c>
      <c r="AC7">
        <v>11.6</v>
      </c>
      <c r="AD7">
        <v>0</v>
      </c>
      <c r="AN7">
        <v>0</v>
      </c>
      <c r="AO7">
        <v>1</v>
      </c>
      <c r="AP7">
        <v>1</v>
      </c>
      <c r="AQ7">
        <v>0</v>
      </c>
      <c r="AR7">
        <v>0</v>
      </c>
      <c r="AT7">
        <v>1.04</v>
      </c>
      <c r="AU7" t="s">
        <v>551</v>
      </c>
      <c r="AV7">
        <v>0</v>
      </c>
      <c r="AW7">
        <v>2</v>
      </c>
      <c r="AX7">
        <v>14724240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ROW(Source!A24)</f>
        <v>24</v>
      </c>
      <c r="B8">
        <v>14724232</v>
      </c>
      <c r="C8">
        <v>14724224</v>
      </c>
      <c r="D8">
        <v>0</v>
      </c>
      <c r="E8">
        <v>0</v>
      </c>
      <c r="F8">
        <v>1</v>
      </c>
      <c r="G8">
        <v>1</v>
      </c>
      <c r="H8">
        <v>3</v>
      </c>
      <c r="I8" t="s">
        <v>559</v>
      </c>
      <c r="J8" t="s">
        <v>562</v>
      </c>
      <c r="K8" t="s">
        <v>560</v>
      </c>
      <c r="L8">
        <v>1339</v>
      </c>
      <c r="N8">
        <v>1007</v>
      </c>
      <c r="O8" t="s">
        <v>561</v>
      </c>
      <c r="P8" t="s">
        <v>561</v>
      </c>
      <c r="Q8">
        <v>1</v>
      </c>
      <c r="Y8">
        <v>126</v>
      </c>
      <c r="AA8">
        <v>103</v>
      </c>
      <c r="AB8">
        <v>0</v>
      </c>
      <c r="AC8">
        <v>0</v>
      </c>
      <c r="AD8">
        <v>0</v>
      </c>
      <c r="AN8">
        <v>1</v>
      </c>
      <c r="AO8">
        <v>0</v>
      </c>
      <c r="AP8">
        <v>0</v>
      </c>
      <c r="AQ8">
        <v>0</v>
      </c>
      <c r="AR8">
        <v>0</v>
      </c>
      <c r="AT8">
        <v>126</v>
      </c>
      <c r="AV8">
        <v>0</v>
      </c>
      <c r="AW8">
        <v>1</v>
      </c>
      <c r="AX8">
        <v>-1</v>
      </c>
      <c r="AY8">
        <v>0</v>
      </c>
      <c r="AZ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ROW(Source!A24)</f>
        <v>24</v>
      </c>
      <c r="B9">
        <v>14724233</v>
      </c>
      <c r="C9">
        <v>14724224</v>
      </c>
      <c r="D9">
        <v>10762767</v>
      </c>
      <c r="E9">
        <v>1</v>
      </c>
      <c r="F9">
        <v>1</v>
      </c>
      <c r="G9">
        <v>1</v>
      </c>
      <c r="H9">
        <v>3</v>
      </c>
      <c r="I9" t="s">
        <v>375</v>
      </c>
      <c r="J9" t="s">
        <v>376</v>
      </c>
      <c r="K9" t="s">
        <v>377</v>
      </c>
      <c r="L9">
        <v>1339</v>
      </c>
      <c r="N9">
        <v>1007</v>
      </c>
      <c r="O9" t="s">
        <v>561</v>
      </c>
      <c r="P9" t="s">
        <v>561</v>
      </c>
      <c r="Q9">
        <v>1</v>
      </c>
      <c r="Y9">
        <v>7</v>
      </c>
      <c r="AA9">
        <v>2.44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7</v>
      </c>
      <c r="AV9">
        <v>0</v>
      </c>
      <c r="AW9">
        <v>2</v>
      </c>
      <c r="AX9">
        <v>14724242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ROW(Source!A26)</f>
        <v>26</v>
      </c>
      <c r="B10">
        <v>14724245</v>
      </c>
      <c r="C10">
        <v>14724244</v>
      </c>
      <c r="D10">
        <v>12171414</v>
      </c>
      <c r="E10">
        <v>1</v>
      </c>
      <c r="F10">
        <v>1</v>
      </c>
      <c r="G10">
        <v>1</v>
      </c>
      <c r="H10">
        <v>1</v>
      </c>
      <c r="I10" t="s">
        <v>378</v>
      </c>
      <c r="K10" t="s">
        <v>379</v>
      </c>
      <c r="L10">
        <v>1369</v>
      </c>
      <c r="N10">
        <v>1013</v>
      </c>
      <c r="O10" t="s">
        <v>356</v>
      </c>
      <c r="P10" t="s">
        <v>356</v>
      </c>
      <c r="Q10">
        <v>1</v>
      </c>
      <c r="Y10">
        <v>29.99</v>
      </c>
      <c r="AA10">
        <v>0</v>
      </c>
      <c r="AB10">
        <v>0</v>
      </c>
      <c r="AC10">
        <v>0</v>
      </c>
      <c r="AD10">
        <v>9.76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29.99</v>
      </c>
      <c r="AV10">
        <v>1</v>
      </c>
      <c r="AW10">
        <v>2</v>
      </c>
      <c r="AX10">
        <v>14724254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ROW(Source!A26)</f>
        <v>26</v>
      </c>
      <c r="B11">
        <v>14724246</v>
      </c>
      <c r="C11">
        <v>14724244</v>
      </c>
      <c r="D11">
        <v>121548</v>
      </c>
      <c r="E11">
        <v>1</v>
      </c>
      <c r="F11">
        <v>1</v>
      </c>
      <c r="G11">
        <v>1</v>
      </c>
      <c r="H11">
        <v>1</v>
      </c>
      <c r="I11" t="s">
        <v>566</v>
      </c>
      <c r="K11" t="s">
        <v>357</v>
      </c>
      <c r="L11">
        <v>1369</v>
      </c>
      <c r="N11">
        <v>1013</v>
      </c>
      <c r="O11" t="s">
        <v>356</v>
      </c>
      <c r="P11" t="s">
        <v>356</v>
      </c>
      <c r="Q11">
        <v>1</v>
      </c>
      <c r="Y11">
        <v>29.9</v>
      </c>
      <c r="AA11">
        <v>0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29.9</v>
      </c>
      <c r="AV11">
        <v>2</v>
      </c>
      <c r="AW11">
        <v>2</v>
      </c>
      <c r="AX11">
        <v>14724255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ROW(Source!A26)</f>
        <v>26</v>
      </c>
      <c r="B12">
        <v>14724247</v>
      </c>
      <c r="C12">
        <v>14724244</v>
      </c>
      <c r="D12">
        <v>10776531</v>
      </c>
      <c r="E12">
        <v>1</v>
      </c>
      <c r="F12">
        <v>1</v>
      </c>
      <c r="G12">
        <v>1</v>
      </c>
      <c r="H12">
        <v>2</v>
      </c>
      <c r="I12" t="s">
        <v>380</v>
      </c>
      <c r="J12" t="s">
        <v>381</v>
      </c>
      <c r="K12" t="s">
        <v>382</v>
      </c>
      <c r="L12">
        <v>1480</v>
      </c>
      <c r="N12">
        <v>1013</v>
      </c>
      <c r="O12" t="s">
        <v>361</v>
      </c>
      <c r="P12" t="s">
        <v>362</v>
      </c>
      <c r="Q12">
        <v>1</v>
      </c>
      <c r="Y12">
        <v>5.76</v>
      </c>
      <c r="AA12">
        <v>0</v>
      </c>
      <c r="AB12">
        <v>75</v>
      </c>
      <c r="AC12">
        <v>11.6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5.76</v>
      </c>
      <c r="AV12">
        <v>0</v>
      </c>
      <c r="AW12">
        <v>2</v>
      </c>
      <c r="AX12">
        <v>14724256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ROW(Source!A26)</f>
        <v>26</v>
      </c>
      <c r="B13">
        <v>14724248</v>
      </c>
      <c r="C13">
        <v>14724244</v>
      </c>
      <c r="D13">
        <v>10776532</v>
      </c>
      <c r="E13">
        <v>1</v>
      </c>
      <c r="F13">
        <v>1</v>
      </c>
      <c r="G13">
        <v>1</v>
      </c>
      <c r="H13">
        <v>2</v>
      </c>
      <c r="I13" t="s">
        <v>383</v>
      </c>
      <c r="J13" t="s">
        <v>384</v>
      </c>
      <c r="K13" t="s">
        <v>385</v>
      </c>
      <c r="L13">
        <v>1480</v>
      </c>
      <c r="N13">
        <v>1013</v>
      </c>
      <c r="O13" t="s">
        <v>361</v>
      </c>
      <c r="P13" t="s">
        <v>362</v>
      </c>
      <c r="Q13">
        <v>1</v>
      </c>
      <c r="Y13">
        <v>18.68</v>
      </c>
      <c r="AA13">
        <v>0</v>
      </c>
      <c r="AB13">
        <v>121</v>
      </c>
      <c r="AC13">
        <v>14.4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18.68</v>
      </c>
      <c r="AV13">
        <v>0</v>
      </c>
      <c r="AW13">
        <v>2</v>
      </c>
      <c r="AX13">
        <v>14724257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ROW(Source!A26)</f>
        <v>26</v>
      </c>
      <c r="B14">
        <v>14724249</v>
      </c>
      <c r="C14">
        <v>14724244</v>
      </c>
      <c r="D14">
        <v>10772483</v>
      </c>
      <c r="E14">
        <v>1</v>
      </c>
      <c r="F14">
        <v>1</v>
      </c>
      <c r="G14">
        <v>1</v>
      </c>
      <c r="H14">
        <v>2</v>
      </c>
      <c r="I14" t="s">
        <v>372</v>
      </c>
      <c r="J14" t="s">
        <v>373</v>
      </c>
      <c r="K14" t="s">
        <v>374</v>
      </c>
      <c r="L14">
        <v>1480</v>
      </c>
      <c r="N14">
        <v>1013</v>
      </c>
      <c r="O14" t="s">
        <v>361</v>
      </c>
      <c r="P14" t="s">
        <v>362</v>
      </c>
      <c r="Q14">
        <v>1</v>
      </c>
      <c r="Y14">
        <v>0.8</v>
      </c>
      <c r="AA14">
        <v>0</v>
      </c>
      <c r="AB14">
        <v>110</v>
      </c>
      <c r="AC14">
        <v>11.6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0.8</v>
      </c>
      <c r="AV14">
        <v>0</v>
      </c>
      <c r="AW14">
        <v>2</v>
      </c>
      <c r="AX14">
        <v>14724258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ROW(Source!A26)</f>
        <v>26</v>
      </c>
      <c r="B15">
        <v>14724250</v>
      </c>
      <c r="C15">
        <v>14724244</v>
      </c>
      <c r="D15">
        <v>10776578</v>
      </c>
      <c r="E15">
        <v>1</v>
      </c>
      <c r="F15">
        <v>1</v>
      </c>
      <c r="G15">
        <v>1</v>
      </c>
      <c r="H15">
        <v>2</v>
      </c>
      <c r="I15" t="s">
        <v>386</v>
      </c>
      <c r="J15" t="s">
        <v>387</v>
      </c>
      <c r="K15" t="s">
        <v>388</v>
      </c>
      <c r="L15">
        <v>1480</v>
      </c>
      <c r="N15">
        <v>1013</v>
      </c>
      <c r="O15" t="s">
        <v>361</v>
      </c>
      <c r="P15" t="s">
        <v>362</v>
      </c>
      <c r="Q15">
        <v>1</v>
      </c>
      <c r="Y15">
        <v>4.66</v>
      </c>
      <c r="AA15">
        <v>0</v>
      </c>
      <c r="AB15">
        <v>195.2</v>
      </c>
      <c r="AC15">
        <v>14.4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4.66</v>
      </c>
      <c r="AV15">
        <v>0</v>
      </c>
      <c r="AW15">
        <v>2</v>
      </c>
      <c r="AX15">
        <v>14724259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ROW(Source!A26)</f>
        <v>26</v>
      </c>
      <c r="B16">
        <v>14724251</v>
      </c>
      <c r="C16">
        <v>14724244</v>
      </c>
      <c r="D16">
        <v>10776579</v>
      </c>
      <c r="E16">
        <v>1</v>
      </c>
      <c r="F16">
        <v>1</v>
      </c>
      <c r="G16">
        <v>1</v>
      </c>
      <c r="H16">
        <v>3</v>
      </c>
      <c r="I16" t="s">
        <v>389</v>
      </c>
      <c r="J16" t="s">
        <v>390</v>
      </c>
      <c r="K16" t="s">
        <v>391</v>
      </c>
      <c r="L16">
        <v>1348</v>
      </c>
      <c r="N16">
        <v>1009</v>
      </c>
      <c r="O16" t="s">
        <v>1</v>
      </c>
      <c r="P16" t="s">
        <v>1</v>
      </c>
      <c r="Q16">
        <v>1000</v>
      </c>
      <c r="Y16">
        <v>0.005</v>
      </c>
      <c r="AA16">
        <v>2606.9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0.005</v>
      </c>
      <c r="AV16">
        <v>0</v>
      </c>
      <c r="AW16">
        <v>2</v>
      </c>
      <c r="AX16">
        <v>14724260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ROW(Source!A26)</f>
        <v>26</v>
      </c>
      <c r="B17">
        <v>14724253</v>
      </c>
      <c r="C17">
        <v>14724244</v>
      </c>
      <c r="D17">
        <v>11336462</v>
      </c>
      <c r="E17">
        <v>1</v>
      </c>
      <c r="F17">
        <v>1</v>
      </c>
      <c r="G17">
        <v>1</v>
      </c>
      <c r="H17">
        <v>3</v>
      </c>
      <c r="I17" t="s">
        <v>571</v>
      </c>
      <c r="J17" t="s">
        <v>5</v>
      </c>
      <c r="K17" t="s">
        <v>4</v>
      </c>
      <c r="L17">
        <v>1348</v>
      </c>
      <c r="N17">
        <v>1009</v>
      </c>
      <c r="O17" t="s">
        <v>1</v>
      </c>
      <c r="P17" t="s">
        <v>1</v>
      </c>
      <c r="Q17">
        <v>1000</v>
      </c>
      <c r="Y17">
        <v>101</v>
      </c>
      <c r="AA17">
        <v>571.6</v>
      </c>
      <c r="AB17">
        <v>0</v>
      </c>
      <c r="AC17">
        <v>0</v>
      </c>
      <c r="AD17">
        <v>0</v>
      </c>
      <c r="AN17">
        <v>0</v>
      </c>
      <c r="AO17">
        <v>0</v>
      </c>
      <c r="AP17">
        <v>2</v>
      </c>
      <c r="AQ17">
        <v>0</v>
      </c>
      <c r="AR17">
        <v>0</v>
      </c>
      <c r="AT17">
        <v>101</v>
      </c>
      <c r="AV17">
        <v>0</v>
      </c>
      <c r="AW17">
        <v>1</v>
      </c>
      <c r="AX17">
        <v>-1</v>
      </c>
      <c r="AY17">
        <v>0</v>
      </c>
      <c r="AZ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ROW(Source!A26)</f>
        <v>26</v>
      </c>
      <c r="B18">
        <v>14724252</v>
      </c>
      <c r="C18">
        <v>14724244</v>
      </c>
      <c r="D18">
        <v>10776582</v>
      </c>
      <c r="E18">
        <v>1</v>
      </c>
      <c r="F18">
        <v>1</v>
      </c>
      <c r="G18">
        <v>1</v>
      </c>
      <c r="H18">
        <v>3</v>
      </c>
      <c r="I18" t="s">
        <v>577</v>
      </c>
      <c r="J18" t="s">
        <v>2</v>
      </c>
      <c r="K18" t="s">
        <v>0</v>
      </c>
      <c r="L18">
        <v>1348</v>
      </c>
      <c r="N18">
        <v>1009</v>
      </c>
      <c r="O18" t="s">
        <v>1</v>
      </c>
      <c r="P18" t="s">
        <v>1</v>
      </c>
      <c r="Q18">
        <v>1000</v>
      </c>
      <c r="Y18">
        <v>-101</v>
      </c>
      <c r="AA18">
        <v>459.91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-101</v>
      </c>
      <c r="AV18">
        <v>0</v>
      </c>
      <c r="AW18">
        <v>2</v>
      </c>
      <c r="AX18">
        <v>14724261</v>
      </c>
      <c r="AY18">
        <v>2</v>
      </c>
      <c r="AZ18">
        <v>12288</v>
      </c>
      <c r="BA18">
        <v>17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ROW(Source!A29)</f>
        <v>29</v>
      </c>
      <c r="B19">
        <v>14724265</v>
      </c>
      <c r="C19">
        <v>14724264</v>
      </c>
      <c r="D19">
        <v>121548</v>
      </c>
      <c r="E19">
        <v>1</v>
      </c>
      <c r="F19">
        <v>1</v>
      </c>
      <c r="G19">
        <v>1</v>
      </c>
      <c r="H19">
        <v>1</v>
      </c>
      <c r="I19" t="s">
        <v>566</v>
      </c>
      <c r="K19" t="s">
        <v>357</v>
      </c>
      <c r="L19">
        <v>1369</v>
      </c>
      <c r="N19">
        <v>1013</v>
      </c>
      <c r="O19" t="s">
        <v>356</v>
      </c>
      <c r="P19" t="s">
        <v>356</v>
      </c>
      <c r="Q19">
        <v>1</v>
      </c>
      <c r="Y19">
        <v>0.825</v>
      </c>
      <c r="AA19">
        <v>0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0.66</v>
      </c>
      <c r="AU19" t="s">
        <v>551</v>
      </c>
      <c r="AV19">
        <v>2</v>
      </c>
      <c r="AW19">
        <v>2</v>
      </c>
      <c r="AX19">
        <v>14724269</v>
      </c>
      <c r="AY19">
        <v>1</v>
      </c>
      <c r="AZ19">
        <v>0</v>
      </c>
      <c r="BA19">
        <v>18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ROW(Source!A29)</f>
        <v>29</v>
      </c>
      <c r="B20">
        <v>14724266</v>
      </c>
      <c r="C20">
        <v>14724264</v>
      </c>
      <c r="D20">
        <v>10776884</v>
      </c>
      <c r="E20">
        <v>1</v>
      </c>
      <c r="F20">
        <v>1</v>
      </c>
      <c r="G20">
        <v>1</v>
      </c>
      <c r="H20">
        <v>2</v>
      </c>
      <c r="I20" t="s">
        <v>392</v>
      </c>
      <c r="J20" t="s">
        <v>393</v>
      </c>
      <c r="K20" t="s">
        <v>394</v>
      </c>
      <c r="L20">
        <v>1480</v>
      </c>
      <c r="N20">
        <v>1013</v>
      </c>
      <c r="O20" t="s">
        <v>361</v>
      </c>
      <c r="P20" t="s">
        <v>362</v>
      </c>
      <c r="Q20">
        <v>1</v>
      </c>
      <c r="Y20">
        <v>0.4125</v>
      </c>
      <c r="AA20">
        <v>0</v>
      </c>
      <c r="AB20">
        <v>120</v>
      </c>
      <c r="AC20">
        <v>23.19</v>
      </c>
      <c r="AD20">
        <v>0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0.33</v>
      </c>
      <c r="AU20" t="s">
        <v>551</v>
      </c>
      <c r="AV20">
        <v>0</v>
      </c>
      <c r="AW20">
        <v>2</v>
      </c>
      <c r="AX20">
        <v>14724270</v>
      </c>
      <c r="AY20">
        <v>1</v>
      </c>
      <c r="AZ20">
        <v>0</v>
      </c>
      <c r="BA20">
        <v>19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ROW(Source!A29)</f>
        <v>29</v>
      </c>
      <c r="B21">
        <v>14724268</v>
      </c>
      <c r="C21">
        <v>14724264</v>
      </c>
      <c r="D21">
        <v>11306566</v>
      </c>
      <c r="E21">
        <v>1</v>
      </c>
      <c r="F21">
        <v>1</v>
      </c>
      <c r="G21">
        <v>1</v>
      </c>
      <c r="H21">
        <v>3</v>
      </c>
      <c r="I21" t="s">
        <v>18</v>
      </c>
      <c r="J21" t="s">
        <v>20</v>
      </c>
      <c r="K21" t="s">
        <v>19</v>
      </c>
      <c r="L21">
        <v>1348</v>
      </c>
      <c r="N21">
        <v>1009</v>
      </c>
      <c r="O21" t="s">
        <v>1</v>
      </c>
      <c r="P21" t="s">
        <v>1</v>
      </c>
      <c r="Q21">
        <v>1000</v>
      </c>
      <c r="Y21">
        <v>1.03</v>
      </c>
      <c r="AA21">
        <v>2172.48</v>
      </c>
      <c r="AB21">
        <v>0</v>
      </c>
      <c r="AC21">
        <v>0</v>
      </c>
      <c r="AD21">
        <v>0</v>
      </c>
      <c r="AN21">
        <v>0</v>
      </c>
      <c r="AO21">
        <v>0</v>
      </c>
      <c r="AP21">
        <v>2</v>
      </c>
      <c r="AQ21">
        <v>0</v>
      </c>
      <c r="AR21">
        <v>0</v>
      </c>
      <c r="AT21">
        <v>1.03</v>
      </c>
      <c r="AV21">
        <v>0</v>
      </c>
      <c r="AW21">
        <v>1</v>
      </c>
      <c r="AX21">
        <v>-1</v>
      </c>
      <c r="AY21">
        <v>0</v>
      </c>
      <c r="AZ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ROW(Source!A29)</f>
        <v>29</v>
      </c>
      <c r="B22">
        <v>14724267</v>
      </c>
      <c r="C22">
        <v>14724264</v>
      </c>
      <c r="D22">
        <v>10776886</v>
      </c>
      <c r="E22">
        <v>1</v>
      </c>
      <c r="F22">
        <v>1</v>
      </c>
      <c r="G22">
        <v>1</v>
      </c>
      <c r="H22">
        <v>3</v>
      </c>
      <c r="I22" t="s">
        <v>12</v>
      </c>
      <c r="J22" t="s">
        <v>14</v>
      </c>
      <c r="K22" t="s">
        <v>13</v>
      </c>
      <c r="L22">
        <v>1348</v>
      </c>
      <c r="N22">
        <v>1009</v>
      </c>
      <c r="O22" t="s">
        <v>1</v>
      </c>
      <c r="P22" t="s">
        <v>1</v>
      </c>
      <c r="Q22">
        <v>1000</v>
      </c>
      <c r="Y22">
        <v>-1.03</v>
      </c>
      <c r="AA22">
        <v>1487.6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-1.03</v>
      </c>
      <c r="AV22">
        <v>0</v>
      </c>
      <c r="AW22">
        <v>2</v>
      </c>
      <c r="AX22">
        <v>14724271</v>
      </c>
      <c r="AY22">
        <v>2</v>
      </c>
      <c r="AZ22">
        <v>12288</v>
      </c>
      <c r="BA22">
        <v>20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ROW(Source!A32)</f>
        <v>32</v>
      </c>
      <c r="B23">
        <v>14724275</v>
      </c>
      <c r="C23">
        <v>14724274</v>
      </c>
      <c r="D23">
        <v>12171444</v>
      </c>
      <c r="E23">
        <v>1</v>
      </c>
      <c r="F23">
        <v>1</v>
      </c>
      <c r="G23">
        <v>1</v>
      </c>
      <c r="H23">
        <v>1</v>
      </c>
      <c r="I23" t="s">
        <v>395</v>
      </c>
      <c r="K23" t="s">
        <v>396</v>
      </c>
      <c r="L23">
        <v>1369</v>
      </c>
      <c r="N23">
        <v>1013</v>
      </c>
      <c r="O23" t="s">
        <v>356</v>
      </c>
      <c r="P23" t="s">
        <v>356</v>
      </c>
      <c r="Q23">
        <v>1</v>
      </c>
      <c r="Y23">
        <v>44.045</v>
      </c>
      <c r="AA23">
        <v>0</v>
      </c>
      <c r="AB23">
        <v>0</v>
      </c>
      <c r="AC23">
        <v>0</v>
      </c>
      <c r="AD23">
        <v>9.62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38.3</v>
      </c>
      <c r="AU23" t="s">
        <v>552</v>
      </c>
      <c r="AV23">
        <v>1</v>
      </c>
      <c r="AW23">
        <v>2</v>
      </c>
      <c r="AX23">
        <v>14724288</v>
      </c>
      <c r="AY23">
        <v>1</v>
      </c>
      <c r="AZ23">
        <v>0</v>
      </c>
      <c r="BA23">
        <v>21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ROW(Source!A32)</f>
        <v>32</v>
      </c>
      <c r="B24">
        <v>14724276</v>
      </c>
      <c r="C24">
        <v>14724274</v>
      </c>
      <c r="D24">
        <v>121548</v>
      </c>
      <c r="E24">
        <v>1</v>
      </c>
      <c r="F24">
        <v>1</v>
      </c>
      <c r="G24">
        <v>1</v>
      </c>
      <c r="H24">
        <v>1</v>
      </c>
      <c r="I24" t="s">
        <v>566</v>
      </c>
      <c r="K24" t="s">
        <v>357</v>
      </c>
      <c r="L24">
        <v>1369</v>
      </c>
      <c r="N24">
        <v>1013</v>
      </c>
      <c r="O24" t="s">
        <v>356</v>
      </c>
      <c r="P24" t="s">
        <v>356</v>
      </c>
      <c r="Q24">
        <v>1</v>
      </c>
      <c r="Y24">
        <v>23.85</v>
      </c>
      <c r="AA24">
        <v>0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19.08</v>
      </c>
      <c r="AU24" t="s">
        <v>551</v>
      </c>
      <c r="AV24">
        <v>2</v>
      </c>
      <c r="AW24">
        <v>2</v>
      </c>
      <c r="AX24">
        <v>14724289</v>
      </c>
      <c r="AY24">
        <v>1</v>
      </c>
      <c r="AZ24">
        <v>0</v>
      </c>
      <c r="BA24">
        <v>22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  <row r="25" spans="1:80" ht="12.75">
      <c r="A25">
        <f>ROW(Source!A32)</f>
        <v>32</v>
      </c>
      <c r="B25">
        <v>14724277</v>
      </c>
      <c r="C25">
        <v>14724274</v>
      </c>
      <c r="D25">
        <v>10762907</v>
      </c>
      <c r="E25">
        <v>1</v>
      </c>
      <c r="F25">
        <v>1</v>
      </c>
      <c r="G25">
        <v>1</v>
      </c>
      <c r="H25">
        <v>2</v>
      </c>
      <c r="I25" t="s">
        <v>397</v>
      </c>
      <c r="J25" t="s">
        <v>398</v>
      </c>
      <c r="K25" t="s">
        <v>399</v>
      </c>
      <c r="L25">
        <v>1480</v>
      </c>
      <c r="N25">
        <v>1013</v>
      </c>
      <c r="O25" t="s">
        <v>361</v>
      </c>
      <c r="P25" t="s">
        <v>362</v>
      </c>
      <c r="Q25">
        <v>1</v>
      </c>
      <c r="Y25">
        <v>0.0375</v>
      </c>
      <c r="AA25">
        <v>0</v>
      </c>
      <c r="AB25">
        <v>111.99</v>
      </c>
      <c r="AC25">
        <v>13.5</v>
      </c>
      <c r="AD25">
        <v>0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0.03</v>
      </c>
      <c r="AU25" t="s">
        <v>551</v>
      </c>
      <c r="AV25">
        <v>0</v>
      </c>
      <c r="AW25">
        <v>2</v>
      </c>
      <c r="AX25">
        <v>14724290</v>
      </c>
      <c r="AY25">
        <v>1</v>
      </c>
      <c r="AZ25">
        <v>0</v>
      </c>
      <c r="BA25">
        <v>23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B25">
        <v>0</v>
      </c>
    </row>
    <row r="26" spans="1:80" ht="12.75">
      <c r="A26">
        <f>ROW(Source!A32)</f>
        <v>32</v>
      </c>
      <c r="B26">
        <v>14724278</v>
      </c>
      <c r="C26">
        <v>14724274</v>
      </c>
      <c r="D26">
        <v>11003175</v>
      </c>
      <c r="E26">
        <v>1</v>
      </c>
      <c r="F26">
        <v>1</v>
      </c>
      <c r="G26">
        <v>1</v>
      </c>
      <c r="H26">
        <v>2</v>
      </c>
      <c r="I26" t="s">
        <v>400</v>
      </c>
      <c r="J26" t="s">
        <v>401</v>
      </c>
      <c r="K26" t="s">
        <v>402</v>
      </c>
      <c r="L26">
        <v>1480</v>
      </c>
      <c r="N26">
        <v>1013</v>
      </c>
      <c r="O26" t="s">
        <v>361</v>
      </c>
      <c r="P26" t="s">
        <v>362</v>
      </c>
      <c r="Q26">
        <v>1</v>
      </c>
      <c r="Y26">
        <v>1.75</v>
      </c>
      <c r="AA26">
        <v>0</v>
      </c>
      <c r="AB26">
        <v>17.2</v>
      </c>
      <c r="AC26">
        <v>0</v>
      </c>
      <c r="AD26">
        <v>0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1.4</v>
      </c>
      <c r="AU26" t="s">
        <v>551</v>
      </c>
      <c r="AV26">
        <v>0</v>
      </c>
      <c r="AW26">
        <v>2</v>
      </c>
      <c r="AX26">
        <v>14724291</v>
      </c>
      <c r="AY26">
        <v>1</v>
      </c>
      <c r="AZ26">
        <v>0</v>
      </c>
      <c r="BA26">
        <v>24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B26">
        <v>0</v>
      </c>
    </row>
    <row r="27" spans="1:80" ht="12.75">
      <c r="A27">
        <f>ROW(Source!A32)</f>
        <v>32</v>
      </c>
      <c r="B27">
        <v>14724279</v>
      </c>
      <c r="C27">
        <v>14724274</v>
      </c>
      <c r="D27">
        <v>10776531</v>
      </c>
      <c r="E27">
        <v>1</v>
      </c>
      <c r="F27">
        <v>1</v>
      </c>
      <c r="G27">
        <v>1</v>
      </c>
      <c r="H27">
        <v>2</v>
      </c>
      <c r="I27" t="s">
        <v>380</v>
      </c>
      <c r="J27" t="s">
        <v>381</v>
      </c>
      <c r="K27" t="s">
        <v>382</v>
      </c>
      <c r="L27">
        <v>1480</v>
      </c>
      <c r="N27">
        <v>1013</v>
      </c>
      <c r="O27" t="s">
        <v>361</v>
      </c>
      <c r="P27" t="s">
        <v>362</v>
      </c>
      <c r="Q27">
        <v>1</v>
      </c>
      <c r="Y27">
        <v>4.95</v>
      </c>
      <c r="AA27">
        <v>0</v>
      </c>
      <c r="AB27">
        <v>75</v>
      </c>
      <c r="AC27">
        <v>11.6</v>
      </c>
      <c r="AD27">
        <v>0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3.96</v>
      </c>
      <c r="AU27" t="s">
        <v>551</v>
      </c>
      <c r="AV27">
        <v>0</v>
      </c>
      <c r="AW27">
        <v>2</v>
      </c>
      <c r="AX27">
        <v>14724292</v>
      </c>
      <c r="AY27">
        <v>1</v>
      </c>
      <c r="AZ27">
        <v>0</v>
      </c>
      <c r="BA27">
        <v>25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B27">
        <v>0</v>
      </c>
    </row>
    <row r="28" spans="1:80" ht="12.75">
      <c r="A28">
        <f>ROW(Source!A32)</f>
        <v>32</v>
      </c>
      <c r="B28">
        <v>14724280</v>
      </c>
      <c r="C28">
        <v>14724274</v>
      </c>
      <c r="D28">
        <v>10776532</v>
      </c>
      <c r="E28">
        <v>1</v>
      </c>
      <c r="F28">
        <v>1</v>
      </c>
      <c r="G28">
        <v>1</v>
      </c>
      <c r="H28">
        <v>2</v>
      </c>
      <c r="I28" t="s">
        <v>383</v>
      </c>
      <c r="J28" t="s">
        <v>384</v>
      </c>
      <c r="K28" t="s">
        <v>385</v>
      </c>
      <c r="L28">
        <v>1480</v>
      </c>
      <c r="N28">
        <v>1013</v>
      </c>
      <c r="O28" t="s">
        <v>361</v>
      </c>
      <c r="P28" t="s">
        <v>362</v>
      </c>
      <c r="Q28">
        <v>1</v>
      </c>
      <c r="Y28">
        <v>14.3875</v>
      </c>
      <c r="AA28">
        <v>0</v>
      </c>
      <c r="AB28">
        <v>121</v>
      </c>
      <c r="AC28">
        <v>14.4</v>
      </c>
      <c r="AD28">
        <v>0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11.51</v>
      </c>
      <c r="AU28" t="s">
        <v>551</v>
      </c>
      <c r="AV28">
        <v>0</v>
      </c>
      <c r="AW28">
        <v>2</v>
      </c>
      <c r="AX28">
        <v>14724293</v>
      </c>
      <c r="AY28">
        <v>1</v>
      </c>
      <c r="AZ28">
        <v>0</v>
      </c>
      <c r="BA28">
        <v>26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B28">
        <v>0</v>
      </c>
    </row>
    <row r="29" spans="1:80" ht="12.75">
      <c r="A29">
        <f>ROW(Source!A32)</f>
        <v>32</v>
      </c>
      <c r="B29">
        <v>14724281</v>
      </c>
      <c r="C29">
        <v>14724274</v>
      </c>
      <c r="D29">
        <v>10772483</v>
      </c>
      <c r="E29">
        <v>1</v>
      </c>
      <c r="F29">
        <v>1</v>
      </c>
      <c r="G29">
        <v>1</v>
      </c>
      <c r="H29">
        <v>2</v>
      </c>
      <c r="I29" t="s">
        <v>372</v>
      </c>
      <c r="J29" t="s">
        <v>373</v>
      </c>
      <c r="K29" t="s">
        <v>374</v>
      </c>
      <c r="L29">
        <v>1480</v>
      </c>
      <c r="N29">
        <v>1013</v>
      </c>
      <c r="O29" t="s">
        <v>361</v>
      </c>
      <c r="P29" t="s">
        <v>362</v>
      </c>
      <c r="Q29">
        <v>1</v>
      </c>
      <c r="Y29">
        <v>0.4875</v>
      </c>
      <c r="AA29">
        <v>0</v>
      </c>
      <c r="AB29">
        <v>110</v>
      </c>
      <c r="AC29">
        <v>11.6</v>
      </c>
      <c r="AD29">
        <v>0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0.39</v>
      </c>
      <c r="AU29" t="s">
        <v>551</v>
      </c>
      <c r="AV29">
        <v>0</v>
      </c>
      <c r="AW29">
        <v>2</v>
      </c>
      <c r="AX29">
        <v>14724294</v>
      </c>
      <c r="AY29">
        <v>1</v>
      </c>
      <c r="AZ29">
        <v>0</v>
      </c>
      <c r="BA29">
        <v>27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B29">
        <v>0</v>
      </c>
    </row>
    <row r="30" spans="1:80" ht="12.75">
      <c r="A30">
        <f>ROW(Source!A32)</f>
        <v>32</v>
      </c>
      <c r="B30">
        <v>14724282</v>
      </c>
      <c r="C30">
        <v>14724274</v>
      </c>
      <c r="D30">
        <v>10776578</v>
      </c>
      <c r="E30">
        <v>1</v>
      </c>
      <c r="F30">
        <v>1</v>
      </c>
      <c r="G30">
        <v>1</v>
      </c>
      <c r="H30">
        <v>2</v>
      </c>
      <c r="I30" t="s">
        <v>386</v>
      </c>
      <c r="J30" t="s">
        <v>387</v>
      </c>
      <c r="K30" t="s">
        <v>388</v>
      </c>
      <c r="L30">
        <v>1480</v>
      </c>
      <c r="N30">
        <v>1013</v>
      </c>
      <c r="O30" t="s">
        <v>361</v>
      </c>
      <c r="P30" t="s">
        <v>362</v>
      </c>
      <c r="Q30">
        <v>1</v>
      </c>
      <c r="Y30">
        <v>3.9875</v>
      </c>
      <c r="AA30">
        <v>0</v>
      </c>
      <c r="AB30">
        <v>195.2</v>
      </c>
      <c r="AC30">
        <v>14.4</v>
      </c>
      <c r="AD30">
        <v>0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3.19</v>
      </c>
      <c r="AU30" t="s">
        <v>551</v>
      </c>
      <c r="AV30">
        <v>0</v>
      </c>
      <c r="AW30">
        <v>2</v>
      </c>
      <c r="AX30">
        <v>14724295</v>
      </c>
      <c r="AY30">
        <v>1</v>
      </c>
      <c r="AZ30">
        <v>0</v>
      </c>
      <c r="BA30">
        <v>28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B30">
        <v>0</v>
      </c>
    </row>
    <row r="31" spans="1:80" ht="12.75">
      <c r="A31">
        <f>ROW(Source!A32)</f>
        <v>32</v>
      </c>
      <c r="B31">
        <v>14724283</v>
      </c>
      <c r="C31">
        <v>14724274</v>
      </c>
      <c r="D31">
        <v>10762668</v>
      </c>
      <c r="E31">
        <v>1</v>
      </c>
      <c r="F31">
        <v>1</v>
      </c>
      <c r="G31">
        <v>1</v>
      </c>
      <c r="H31">
        <v>2</v>
      </c>
      <c r="I31" t="s">
        <v>403</v>
      </c>
      <c r="J31" t="s">
        <v>404</v>
      </c>
      <c r="K31" t="s">
        <v>405</v>
      </c>
      <c r="L31">
        <v>1480</v>
      </c>
      <c r="N31">
        <v>1013</v>
      </c>
      <c r="O31" t="s">
        <v>361</v>
      </c>
      <c r="P31" t="s">
        <v>362</v>
      </c>
      <c r="Q31">
        <v>1</v>
      </c>
      <c r="Y31">
        <v>0.05</v>
      </c>
      <c r="AA31">
        <v>0</v>
      </c>
      <c r="AB31">
        <v>87.17</v>
      </c>
      <c r="AC31">
        <v>11.6</v>
      </c>
      <c r="AD31">
        <v>0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0.04</v>
      </c>
      <c r="AU31" t="s">
        <v>551</v>
      </c>
      <c r="AV31">
        <v>0</v>
      </c>
      <c r="AW31">
        <v>2</v>
      </c>
      <c r="AX31">
        <v>14724296</v>
      </c>
      <c r="AY31">
        <v>1</v>
      </c>
      <c r="AZ31">
        <v>0</v>
      </c>
      <c r="BA31">
        <v>29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B31">
        <v>0</v>
      </c>
    </row>
    <row r="32" spans="1:80" ht="12.75">
      <c r="A32">
        <f>ROW(Source!A32)</f>
        <v>32</v>
      </c>
      <c r="B32">
        <v>14724284</v>
      </c>
      <c r="C32">
        <v>14724274</v>
      </c>
      <c r="D32">
        <v>10763223</v>
      </c>
      <c r="E32">
        <v>1</v>
      </c>
      <c r="F32">
        <v>1</v>
      </c>
      <c r="G32">
        <v>1</v>
      </c>
      <c r="H32">
        <v>3</v>
      </c>
      <c r="I32" t="s">
        <v>406</v>
      </c>
      <c r="J32" t="s">
        <v>407</v>
      </c>
      <c r="K32" t="s">
        <v>408</v>
      </c>
      <c r="L32">
        <v>1348</v>
      </c>
      <c r="N32">
        <v>1009</v>
      </c>
      <c r="O32" t="s">
        <v>1</v>
      </c>
      <c r="P32" t="s">
        <v>1</v>
      </c>
      <c r="Q32">
        <v>1000</v>
      </c>
      <c r="Y32">
        <v>0.0062</v>
      </c>
      <c r="AA32">
        <v>5989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0.0062</v>
      </c>
      <c r="AV32">
        <v>0</v>
      </c>
      <c r="AW32">
        <v>2</v>
      </c>
      <c r="AX32">
        <v>14724297</v>
      </c>
      <c r="AY32">
        <v>1</v>
      </c>
      <c r="AZ32">
        <v>0</v>
      </c>
      <c r="BA32">
        <v>30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B32">
        <v>0</v>
      </c>
    </row>
    <row r="33" spans="1:80" ht="12.75">
      <c r="A33">
        <f>ROW(Source!A32)</f>
        <v>32</v>
      </c>
      <c r="B33">
        <v>14724285</v>
      </c>
      <c r="C33">
        <v>14724274</v>
      </c>
      <c r="D33">
        <v>11306562</v>
      </c>
      <c r="E33">
        <v>1</v>
      </c>
      <c r="F33">
        <v>1</v>
      </c>
      <c r="G33">
        <v>1</v>
      </c>
      <c r="H33">
        <v>3</v>
      </c>
      <c r="I33" t="s">
        <v>409</v>
      </c>
      <c r="J33" t="s">
        <v>410</v>
      </c>
      <c r="K33" t="s">
        <v>411</v>
      </c>
      <c r="L33">
        <v>1348</v>
      </c>
      <c r="N33">
        <v>1009</v>
      </c>
      <c r="O33" t="s">
        <v>1</v>
      </c>
      <c r="P33" t="s">
        <v>1</v>
      </c>
      <c r="Q33">
        <v>1000</v>
      </c>
      <c r="Y33">
        <v>0.0108</v>
      </c>
      <c r="AA33">
        <v>1690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0.0108</v>
      </c>
      <c r="AV33">
        <v>0</v>
      </c>
      <c r="AW33">
        <v>2</v>
      </c>
      <c r="AX33">
        <v>14724298</v>
      </c>
      <c r="AY33">
        <v>1</v>
      </c>
      <c r="AZ33">
        <v>0</v>
      </c>
      <c r="BA33">
        <v>31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B33">
        <v>0</v>
      </c>
    </row>
    <row r="34" spans="1:80" ht="12.75">
      <c r="A34">
        <f>ROW(Source!A32)</f>
        <v>32</v>
      </c>
      <c r="B34">
        <v>14724286</v>
      </c>
      <c r="C34">
        <v>14724274</v>
      </c>
      <c r="D34">
        <v>10763267</v>
      </c>
      <c r="E34">
        <v>1</v>
      </c>
      <c r="F34">
        <v>1</v>
      </c>
      <c r="G34">
        <v>1</v>
      </c>
      <c r="H34">
        <v>3</v>
      </c>
      <c r="I34" t="s">
        <v>412</v>
      </c>
      <c r="J34" t="s">
        <v>413</v>
      </c>
      <c r="K34" t="s">
        <v>414</v>
      </c>
      <c r="L34">
        <v>1339</v>
      </c>
      <c r="N34">
        <v>1007</v>
      </c>
      <c r="O34" t="s">
        <v>561</v>
      </c>
      <c r="P34" t="s">
        <v>561</v>
      </c>
      <c r="Q34">
        <v>1</v>
      </c>
      <c r="Y34">
        <v>0.15</v>
      </c>
      <c r="AA34">
        <v>1287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0.15</v>
      </c>
      <c r="AV34">
        <v>0</v>
      </c>
      <c r="AW34">
        <v>2</v>
      </c>
      <c r="AX34">
        <v>14724299</v>
      </c>
      <c r="AY34">
        <v>1</v>
      </c>
      <c r="AZ34">
        <v>0</v>
      </c>
      <c r="BA34">
        <v>32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B34">
        <v>0</v>
      </c>
    </row>
    <row r="35" spans="1:80" ht="12.75">
      <c r="A35">
        <f>ROW(Source!A32)</f>
        <v>32</v>
      </c>
      <c r="B35">
        <v>14724287</v>
      </c>
      <c r="C35">
        <v>14724274</v>
      </c>
      <c r="D35">
        <v>11336462</v>
      </c>
      <c r="E35">
        <v>1</v>
      </c>
      <c r="F35">
        <v>1</v>
      </c>
      <c r="G35">
        <v>1</v>
      </c>
      <c r="H35">
        <v>3</v>
      </c>
      <c r="I35" t="s">
        <v>571</v>
      </c>
      <c r="J35" t="s">
        <v>5</v>
      </c>
      <c r="K35" t="s">
        <v>415</v>
      </c>
      <c r="L35">
        <v>1348</v>
      </c>
      <c r="N35">
        <v>1009</v>
      </c>
      <c r="O35" t="s">
        <v>1</v>
      </c>
      <c r="P35" t="s">
        <v>1</v>
      </c>
      <c r="Q35">
        <v>1000</v>
      </c>
      <c r="Y35">
        <v>93.3</v>
      </c>
      <c r="AA35">
        <v>571.6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93.3</v>
      </c>
      <c r="AV35">
        <v>0</v>
      </c>
      <c r="AW35">
        <v>2</v>
      </c>
      <c r="AX35">
        <v>14724300</v>
      </c>
      <c r="AY35">
        <v>1</v>
      </c>
      <c r="AZ35">
        <v>0</v>
      </c>
      <c r="BA35">
        <v>33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B35">
        <v>0</v>
      </c>
    </row>
    <row r="36" spans="1:80" ht="12.75">
      <c r="A36">
        <f>ROW(Source!A33)</f>
        <v>33</v>
      </c>
      <c r="B36">
        <v>14724302</v>
      </c>
      <c r="C36">
        <v>14724301</v>
      </c>
      <c r="D36">
        <v>12171444</v>
      </c>
      <c r="E36">
        <v>1</v>
      </c>
      <c r="F36">
        <v>1</v>
      </c>
      <c r="G36">
        <v>1</v>
      </c>
      <c r="H36">
        <v>1</v>
      </c>
      <c r="I36" t="s">
        <v>395</v>
      </c>
      <c r="K36" t="s">
        <v>396</v>
      </c>
      <c r="L36">
        <v>1369</v>
      </c>
      <c r="N36">
        <v>1013</v>
      </c>
      <c r="O36" t="s">
        <v>356</v>
      </c>
      <c r="P36" t="s">
        <v>356</v>
      </c>
      <c r="Q36">
        <v>1</v>
      </c>
      <c r="Y36">
        <v>0.1035</v>
      </c>
      <c r="AA36">
        <v>0</v>
      </c>
      <c r="AB36">
        <v>0</v>
      </c>
      <c r="AC36">
        <v>0</v>
      </c>
      <c r="AD36">
        <v>9.62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0.09</v>
      </c>
      <c r="AU36" t="s">
        <v>552</v>
      </c>
      <c r="AV36">
        <v>1</v>
      </c>
      <c r="AW36">
        <v>2</v>
      </c>
      <c r="AX36">
        <v>14724306</v>
      </c>
      <c r="AY36">
        <v>1</v>
      </c>
      <c r="AZ36">
        <v>0</v>
      </c>
      <c r="BA36">
        <v>34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B36">
        <v>0</v>
      </c>
    </row>
    <row r="37" spans="1:80" ht="12.75">
      <c r="A37">
        <f>ROW(Source!A33)</f>
        <v>33</v>
      </c>
      <c r="B37">
        <v>14724303</v>
      </c>
      <c r="C37">
        <v>14724301</v>
      </c>
      <c r="D37">
        <v>11003175</v>
      </c>
      <c r="E37">
        <v>1</v>
      </c>
      <c r="F37">
        <v>1</v>
      </c>
      <c r="G37">
        <v>1</v>
      </c>
      <c r="H37">
        <v>2</v>
      </c>
      <c r="I37" t="s">
        <v>400</v>
      </c>
      <c r="J37" t="s">
        <v>401</v>
      </c>
      <c r="K37" t="s">
        <v>402</v>
      </c>
      <c r="L37">
        <v>1480</v>
      </c>
      <c r="N37">
        <v>1013</v>
      </c>
      <c r="O37" t="s">
        <v>361</v>
      </c>
      <c r="P37" t="s">
        <v>362</v>
      </c>
      <c r="Q37">
        <v>1</v>
      </c>
      <c r="Y37">
        <v>0.2125</v>
      </c>
      <c r="AA37">
        <v>0</v>
      </c>
      <c r="AB37">
        <v>17.2</v>
      </c>
      <c r="AC37">
        <v>0</v>
      </c>
      <c r="AD37">
        <v>0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0.17</v>
      </c>
      <c r="AU37" t="s">
        <v>551</v>
      </c>
      <c r="AV37">
        <v>0</v>
      </c>
      <c r="AW37">
        <v>2</v>
      </c>
      <c r="AX37">
        <v>14724307</v>
      </c>
      <c r="AY37">
        <v>1</v>
      </c>
      <c r="AZ37">
        <v>0</v>
      </c>
      <c r="BA37">
        <v>35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B37">
        <v>0</v>
      </c>
    </row>
    <row r="38" spans="1:80" ht="12.75">
      <c r="A38">
        <f>ROW(Source!A33)</f>
        <v>33</v>
      </c>
      <c r="B38">
        <v>14724304</v>
      </c>
      <c r="C38">
        <v>14724301</v>
      </c>
      <c r="D38">
        <v>11306562</v>
      </c>
      <c r="E38">
        <v>1</v>
      </c>
      <c r="F38">
        <v>1</v>
      </c>
      <c r="G38">
        <v>1</v>
      </c>
      <c r="H38">
        <v>3</v>
      </c>
      <c r="I38" t="s">
        <v>409</v>
      </c>
      <c r="J38" t="s">
        <v>410</v>
      </c>
      <c r="K38" t="s">
        <v>411</v>
      </c>
      <c r="L38">
        <v>1348</v>
      </c>
      <c r="N38">
        <v>1009</v>
      </c>
      <c r="O38" t="s">
        <v>1</v>
      </c>
      <c r="P38" t="s">
        <v>1</v>
      </c>
      <c r="Q38">
        <v>1000</v>
      </c>
      <c r="Y38">
        <v>0.0014</v>
      </c>
      <c r="AA38">
        <v>1690</v>
      </c>
      <c r="AB38">
        <v>0</v>
      </c>
      <c r="AC38">
        <v>0</v>
      </c>
      <c r="AD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0.0014</v>
      </c>
      <c r="AV38">
        <v>0</v>
      </c>
      <c r="AW38">
        <v>2</v>
      </c>
      <c r="AX38">
        <v>14724308</v>
      </c>
      <c r="AY38">
        <v>1</v>
      </c>
      <c r="AZ38">
        <v>0</v>
      </c>
      <c r="BA38">
        <v>36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B38">
        <v>0</v>
      </c>
    </row>
    <row r="39" spans="1:80" ht="12.75">
      <c r="A39">
        <f>ROW(Source!A33)</f>
        <v>33</v>
      </c>
      <c r="B39">
        <v>14724305</v>
      </c>
      <c r="C39">
        <v>14724301</v>
      </c>
      <c r="D39">
        <v>11336462</v>
      </c>
      <c r="E39">
        <v>1</v>
      </c>
      <c r="F39">
        <v>1</v>
      </c>
      <c r="G39">
        <v>1</v>
      </c>
      <c r="H39">
        <v>3</v>
      </c>
      <c r="I39" t="s">
        <v>571</v>
      </c>
      <c r="J39" t="s">
        <v>5</v>
      </c>
      <c r="K39" t="s">
        <v>415</v>
      </c>
      <c r="L39">
        <v>1348</v>
      </c>
      <c r="N39">
        <v>1009</v>
      </c>
      <c r="O39" t="s">
        <v>1</v>
      </c>
      <c r="P39" t="s">
        <v>1</v>
      </c>
      <c r="Q39">
        <v>1000</v>
      </c>
      <c r="Y39">
        <v>11.7</v>
      </c>
      <c r="AA39">
        <v>571.6</v>
      </c>
      <c r="AB39">
        <v>0</v>
      </c>
      <c r="AC39">
        <v>0</v>
      </c>
      <c r="AD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11.7</v>
      </c>
      <c r="AV39">
        <v>0</v>
      </c>
      <c r="AW39">
        <v>2</v>
      </c>
      <c r="AX39">
        <v>14724309</v>
      </c>
      <c r="AY39">
        <v>1</v>
      </c>
      <c r="AZ39">
        <v>0</v>
      </c>
      <c r="BA39">
        <v>37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B39">
        <v>0</v>
      </c>
    </row>
    <row r="40" spans="1:80" ht="12.75">
      <c r="A40">
        <f>ROW(Source!A34)</f>
        <v>34</v>
      </c>
      <c r="B40">
        <v>14724311</v>
      </c>
      <c r="C40">
        <v>14724310</v>
      </c>
      <c r="D40">
        <v>12171444</v>
      </c>
      <c r="E40">
        <v>1</v>
      </c>
      <c r="F40">
        <v>1</v>
      </c>
      <c r="G40">
        <v>1</v>
      </c>
      <c r="H40">
        <v>1</v>
      </c>
      <c r="I40" t="s">
        <v>395</v>
      </c>
      <c r="K40" t="s">
        <v>396</v>
      </c>
      <c r="L40">
        <v>1369</v>
      </c>
      <c r="N40">
        <v>1013</v>
      </c>
      <c r="O40" t="s">
        <v>356</v>
      </c>
      <c r="P40" t="s">
        <v>356</v>
      </c>
      <c r="Q40">
        <v>1</v>
      </c>
      <c r="Y40">
        <v>85.72</v>
      </c>
      <c r="AA40">
        <v>0</v>
      </c>
      <c r="AB40">
        <v>0</v>
      </c>
      <c r="AC40">
        <v>0</v>
      </c>
      <c r="AD40">
        <v>9.62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85.72</v>
      </c>
      <c r="AV40">
        <v>1</v>
      </c>
      <c r="AW40">
        <v>2</v>
      </c>
      <c r="AX40">
        <v>14724319</v>
      </c>
      <c r="AY40">
        <v>1</v>
      </c>
      <c r="AZ40">
        <v>0</v>
      </c>
      <c r="BA40">
        <v>38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B40">
        <v>0</v>
      </c>
    </row>
    <row r="41" spans="1:80" ht="12.75">
      <c r="A41">
        <f>ROW(Source!A34)</f>
        <v>34</v>
      </c>
      <c r="B41">
        <v>14724312</v>
      </c>
      <c r="C41">
        <v>14724310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566</v>
      </c>
      <c r="K41" t="s">
        <v>357</v>
      </c>
      <c r="L41">
        <v>1369</v>
      </c>
      <c r="N41">
        <v>1013</v>
      </c>
      <c r="O41" t="s">
        <v>356</v>
      </c>
      <c r="P41" t="s">
        <v>356</v>
      </c>
      <c r="Q41">
        <v>1</v>
      </c>
      <c r="Y41">
        <v>31.22</v>
      </c>
      <c r="AA41">
        <v>0</v>
      </c>
      <c r="AB41">
        <v>0</v>
      </c>
      <c r="AC41">
        <v>0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31.22</v>
      </c>
      <c r="AV41">
        <v>2</v>
      </c>
      <c r="AW41">
        <v>2</v>
      </c>
      <c r="AX41">
        <v>14724320</v>
      </c>
      <c r="AY41">
        <v>1</v>
      </c>
      <c r="AZ41">
        <v>0</v>
      </c>
      <c r="BA41">
        <v>39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B41">
        <v>0</v>
      </c>
    </row>
    <row r="42" spans="1:80" ht="12.75">
      <c r="A42">
        <f>ROW(Source!A34)</f>
        <v>34</v>
      </c>
      <c r="B42">
        <v>14724313</v>
      </c>
      <c r="C42">
        <v>14724310</v>
      </c>
      <c r="D42">
        <v>10776531</v>
      </c>
      <c r="E42">
        <v>1</v>
      </c>
      <c r="F42">
        <v>1</v>
      </c>
      <c r="G42">
        <v>1</v>
      </c>
      <c r="H42">
        <v>2</v>
      </c>
      <c r="I42" t="s">
        <v>380</v>
      </c>
      <c r="J42" t="s">
        <v>381</v>
      </c>
      <c r="K42" t="s">
        <v>382</v>
      </c>
      <c r="L42">
        <v>1480</v>
      </c>
      <c r="N42">
        <v>1013</v>
      </c>
      <c r="O42" t="s">
        <v>361</v>
      </c>
      <c r="P42" t="s">
        <v>362</v>
      </c>
      <c r="Q42">
        <v>1</v>
      </c>
      <c r="Y42">
        <v>11.74</v>
      </c>
      <c r="AA42">
        <v>0</v>
      </c>
      <c r="AB42">
        <v>75</v>
      </c>
      <c r="AC42">
        <v>11.6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11.74</v>
      </c>
      <c r="AV42">
        <v>0</v>
      </c>
      <c r="AW42">
        <v>2</v>
      </c>
      <c r="AX42">
        <v>14724321</v>
      </c>
      <c r="AY42">
        <v>1</v>
      </c>
      <c r="AZ42">
        <v>0</v>
      </c>
      <c r="BA42">
        <v>40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B42">
        <v>0</v>
      </c>
    </row>
    <row r="43" spans="1:80" ht="12.75">
      <c r="A43">
        <f>ROW(Source!A34)</f>
        <v>34</v>
      </c>
      <c r="B43">
        <v>14724314</v>
      </c>
      <c r="C43">
        <v>14724310</v>
      </c>
      <c r="D43">
        <v>10776532</v>
      </c>
      <c r="E43">
        <v>1</v>
      </c>
      <c r="F43">
        <v>1</v>
      </c>
      <c r="G43">
        <v>1</v>
      </c>
      <c r="H43">
        <v>2</v>
      </c>
      <c r="I43" t="s">
        <v>383</v>
      </c>
      <c r="J43" t="s">
        <v>384</v>
      </c>
      <c r="K43" t="s">
        <v>385</v>
      </c>
      <c r="L43">
        <v>1480</v>
      </c>
      <c r="N43">
        <v>1013</v>
      </c>
      <c r="O43" t="s">
        <v>361</v>
      </c>
      <c r="P43" t="s">
        <v>362</v>
      </c>
      <c r="Q43">
        <v>1</v>
      </c>
      <c r="Y43">
        <v>18.68</v>
      </c>
      <c r="AA43">
        <v>0</v>
      </c>
      <c r="AB43">
        <v>121</v>
      </c>
      <c r="AC43">
        <v>14.4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18.68</v>
      </c>
      <c r="AV43">
        <v>0</v>
      </c>
      <c r="AW43">
        <v>2</v>
      </c>
      <c r="AX43">
        <v>14724322</v>
      </c>
      <c r="AY43">
        <v>1</v>
      </c>
      <c r="AZ43">
        <v>0</v>
      </c>
      <c r="BA43">
        <v>41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B43">
        <v>0</v>
      </c>
    </row>
    <row r="44" spans="1:80" ht="12.75">
      <c r="A44">
        <f>ROW(Source!A34)</f>
        <v>34</v>
      </c>
      <c r="B44">
        <v>14724315</v>
      </c>
      <c r="C44">
        <v>14724310</v>
      </c>
      <c r="D44">
        <v>10772483</v>
      </c>
      <c r="E44">
        <v>1</v>
      </c>
      <c r="F44">
        <v>1</v>
      </c>
      <c r="G44">
        <v>1</v>
      </c>
      <c r="H44">
        <v>2</v>
      </c>
      <c r="I44" t="s">
        <v>372</v>
      </c>
      <c r="J44" t="s">
        <v>373</v>
      </c>
      <c r="K44" t="s">
        <v>374</v>
      </c>
      <c r="L44">
        <v>1480</v>
      </c>
      <c r="N44">
        <v>1013</v>
      </c>
      <c r="O44" t="s">
        <v>361</v>
      </c>
      <c r="P44" t="s">
        <v>362</v>
      </c>
      <c r="Q44">
        <v>1</v>
      </c>
      <c r="Y44">
        <v>0.8</v>
      </c>
      <c r="AA44">
        <v>0</v>
      </c>
      <c r="AB44">
        <v>110</v>
      </c>
      <c r="AC44">
        <v>11.6</v>
      </c>
      <c r="AD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0.8</v>
      </c>
      <c r="AV44">
        <v>0</v>
      </c>
      <c r="AW44">
        <v>2</v>
      </c>
      <c r="AX44">
        <v>14724323</v>
      </c>
      <c r="AY44">
        <v>1</v>
      </c>
      <c r="AZ44">
        <v>0</v>
      </c>
      <c r="BA44">
        <v>42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B44">
        <v>0</v>
      </c>
    </row>
    <row r="45" spans="1:80" ht="12.75">
      <c r="A45">
        <f>ROW(Source!A34)</f>
        <v>34</v>
      </c>
      <c r="B45">
        <v>14724316</v>
      </c>
      <c r="C45">
        <v>14724310</v>
      </c>
      <c r="D45">
        <v>10776579</v>
      </c>
      <c r="E45">
        <v>1</v>
      </c>
      <c r="F45">
        <v>1</v>
      </c>
      <c r="G45">
        <v>1</v>
      </c>
      <c r="H45">
        <v>3</v>
      </c>
      <c r="I45" t="s">
        <v>389</v>
      </c>
      <c r="J45" t="s">
        <v>390</v>
      </c>
      <c r="K45" t="s">
        <v>391</v>
      </c>
      <c r="L45">
        <v>1348</v>
      </c>
      <c r="N45">
        <v>1009</v>
      </c>
      <c r="O45" t="s">
        <v>1</v>
      </c>
      <c r="P45" t="s">
        <v>1</v>
      </c>
      <c r="Q45">
        <v>1000</v>
      </c>
      <c r="Y45">
        <v>0.005</v>
      </c>
      <c r="AA45">
        <v>2606.9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0.005</v>
      </c>
      <c r="AV45">
        <v>0</v>
      </c>
      <c r="AW45">
        <v>2</v>
      </c>
      <c r="AX45">
        <v>14724324</v>
      </c>
      <c r="AY45">
        <v>1</v>
      </c>
      <c r="AZ45">
        <v>0</v>
      </c>
      <c r="BA45">
        <v>43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B45">
        <v>0</v>
      </c>
    </row>
    <row r="46" spans="1:80" ht="12.75">
      <c r="A46">
        <f>ROW(Source!A34)</f>
        <v>34</v>
      </c>
      <c r="B46">
        <v>14724318</v>
      </c>
      <c r="C46">
        <v>14724310</v>
      </c>
      <c r="D46">
        <v>11336462</v>
      </c>
      <c r="E46">
        <v>1</v>
      </c>
      <c r="F46">
        <v>1</v>
      </c>
      <c r="G46">
        <v>1</v>
      </c>
      <c r="H46">
        <v>3</v>
      </c>
      <c r="I46" t="s">
        <v>571</v>
      </c>
      <c r="J46" t="s">
        <v>5</v>
      </c>
      <c r="K46" t="s">
        <v>38</v>
      </c>
      <c r="L46">
        <v>1348</v>
      </c>
      <c r="N46">
        <v>1009</v>
      </c>
      <c r="O46" t="s">
        <v>1</v>
      </c>
      <c r="P46" t="s">
        <v>1</v>
      </c>
      <c r="Q46">
        <v>1000</v>
      </c>
      <c r="Y46">
        <v>101</v>
      </c>
      <c r="AA46">
        <v>571.6</v>
      </c>
      <c r="AB46">
        <v>0</v>
      </c>
      <c r="AC46">
        <v>0</v>
      </c>
      <c r="AD46">
        <v>0</v>
      </c>
      <c r="AN46">
        <v>0</v>
      </c>
      <c r="AO46">
        <v>0</v>
      </c>
      <c r="AP46">
        <v>2</v>
      </c>
      <c r="AQ46">
        <v>0</v>
      </c>
      <c r="AR46">
        <v>0</v>
      </c>
      <c r="AT46">
        <v>101</v>
      </c>
      <c r="AV46">
        <v>0</v>
      </c>
      <c r="AW46">
        <v>1</v>
      </c>
      <c r="AX46">
        <v>-1</v>
      </c>
      <c r="AY46">
        <v>0</v>
      </c>
      <c r="AZ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B46">
        <v>0</v>
      </c>
    </row>
    <row r="47" spans="1:80" ht="12.75">
      <c r="A47">
        <f>ROW(Source!A34)</f>
        <v>34</v>
      </c>
      <c r="B47">
        <v>14724317</v>
      </c>
      <c r="C47">
        <v>14724310</v>
      </c>
      <c r="D47">
        <v>10776582</v>
      </c>
      <c r="E47">
        <v>1</v>
      </c>
      <c r="F47">
        <v>1</v>
      </c>
      <c r="G47">
        <v>1</v>
      </c>
      <c r="H47">
        <v>3</v>
      </c>
      <c r="I47" t="s">
        <v>577</v>
      </c>
      <c r="J47" t="s">
        <v>2</v>
      </c>
      <c r="K47" t="s">
        <v>0</v>
      </c>
      <c r="L47">
        <v>1348</v>
      </c>
      <c r="N47">
        <v>1009</v>
      </c>
      <c r="O47" t="s">
        <v>1</v>
      </c>
      <c r="P47" t="s">
        <v>1</v>
      </c>
      <c r="Q47">
        <v>1000</v>
      </c>
      <c r="Y47">
        <v>-101</v>
      </c>
      <c r="AA47">
        <v>459.91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-101</v>
      </c>
      <c r="AV47">
        <v>0</v>
      </c>
      <c r="AW47">
        <v>2</v>
      </c>
      <c r="AX47">
        <v>14724325</v>
      </c>
      <c r="AY47">
        <v>2</v>
      </c>
      <c r="AZ47">
        <v>12288</v>
      </c>
      <c r="BA47">
        <v>44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B47">
        <v>0</v>
      </c>
    </row>
    <row r="48" spans="1:80" ht="12.75">
      <c r="A48">
        <f>ROW(Source!A37)</f>
        <v>37</v>
      </c>
      <c r="B48">
        <v>14724329</v>
      </c>
      <c r="C48">
        <v>14724328</v>
      </c>
      <c r="D48">
        <v>12171686</v>
      </c>
      <c r="E48">
        <v>1</v>
      </c>
      <c r="F48">
        <v>1</v>
      </c>
      <c r="G48">
        <v>1</v>
      </c>
      <c r="H48">
        <v>1</v>
      </c>
      <c r="I48" t="s">
        <v>416</v>
      </c>
      <c r="K48" t="s">
        <v>417</v>
      </c>
      <c r="L48">
        <v>1369</v>
      </c>
      <c r="N48">
        <v>1013</v>
      </c>
      <c r="O48" t="s">
        <v>356</v>
      </c>
      <c r="P48" t="s">
        <v>356</v>
      </c>
      <c r="Q48">
        <v>1</v>
      </c>
      <c r="Y48">
        <v>17.387999999999998</v>
      </c>
      <c r="AA48">
        <v>0</v>
      </c>
      <c r="AB48">
        <v>0</v>
      </c>
      <c r="AC48">
        <v>0</v>
      </c>
      <c r="AD48">
        <v>9.29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15.12</v>
      </c>
      <c r="AU48" t="s">
        <v>552</v>
      </c>
      <c r="AV48">
        <v>1</v>
      </c>
      <c r="AW48">
        <v>2</v>
      </c>
      <c r="AX48">
        <v>14724339</v>
      </c>
      <c r="AY48">
        <v>1</v>
      </c>
      <c r="AZ48">
        <v>0</v>
      </c>
      <c r="BA48">
        <v>45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B48">
        <v>0</v>
      </c>
    </row>
    <row r="49" spans="1:80" ht="12.75">
      <c r="A49">
        <f>ROW(Source!A37)</f>
        <v>37</v>
      </c>
      <c r="B49">
        <v>14724330</v>
      </c>
      <c r="C49">
        <v>14724328</v>
      </c>
      <c r="D49">
        <v>121548</v>
      </c>
      <c r="E49">
        <v>1</v>
      </c>
      <c r="F49">
        <v>1</v>
      </c>
      <c r="G49">
        <v>1</v>
      </c>
      <c r="H49">
        <v>1</v>
      </c>
      <c r="I49" t="s">
        <v>566</v>
      </c>
      <c r="K49" t="s">
        <v>357</v>
      </c>
      <c r="L49">
        <v>1369</v>
      </c>
      <c r="N49">
        <v>1013</v>
      </c>
      <c r="O49" t="s">
        <v>356</v>
      </c>
      <c r="P49" t="s">
        <v>356</v>
      </c>
      <c r="Q49">
        <v>1</v>
      </c>
      <c r="Y49">
        <v>0.0625</v>
      </c>
      <c r="AA49">
        <v>0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0.05</v>
      </c>
      <c r="AU49" t="s">
        <v>551</v>
      </c>
      <c r="AV49">
        <v>2</v>
      </c>
      <c r="AW49">
        <v>2</v>
      </c>
      <c r="AX49">
        <v>14724340</v>
      </c>
      <c r="AY49">
        <v>1</v>
      </c>
      <c r="AZ49">
        <v>0</v>
      </c>
      <c r="BA49">
        <v>46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B49">
        <v>0</v>
      </c>
    </row>
    <row r="50" spans="1:80" ht="12.75">
      <c r="A50">
        <f>ROW(Source!A37)</f>
        <v>37</v>
      </c>
      <c r="B50">
        <v>14724331</v>
      </c>
      <c r="C50">
        <v>14724328</v>
      </c>
      <c r="D50">
        <v>10762907</v>
      </c>
      <c r="E50">
        <v>1</v>
      </c>
      <c r="F50">
        <v>1</v>
      </c>
      <c r="G50">
        <v>1</v>
      </c>
      <c r="H50">
        <v>2</v>
      </c>
      <c r="I50" t="s">
        <v>397</v>
      </c>
      <c r="J50" t="s">
        <v>398</v>
      </c>
      <c r="K50" t="s">
        <v>399</v>
      </c>
      <c r="L50">
        <v>1480</v>
      </c>
      <c r="N50">
        <v>1013</v>
      </c>
      <c r="O50" t="s">
        <v>361</v>
      </c>
      <c r="P50" t="s">
        <v>362</v>
      </c>
      <c r="Q50">
        <v>1</v>
      </c>
      <c r="Y50">
        <v>0.025</v>
      </c>
      <c r="AA50">
        <v>0</v>
      </c>
      <c r="AB50">
        <v>111.99</v>
      </c>
      <c r="AC50">
        <v>13.5</v>
      </c>
      <c r="AD50">
        <v>0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0.02</v>
      </c>
      <c r="AU50" t="s">
        <v>551</v>
      </c>
      <c r="AV50">
        <v>0</v>
      </c>
      <c r="AW50">
        <v>2</v>
      </c>
      <c r="AX50">
        <v>14724341</v>
      </c>
      <c r="AY50">
        <v>1</v>
      </c>
      <c r="AZ50">
        <v>0</v>
      </c>
      <c r="BA50">
        <v>47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B50">
        <v>0</v>
      </c>
    </row>
    <row r="51" spans="1:80" ht="12.75">
      <c r="A51">
        <f>ROW(Source!A37)</f>
        <v>37</v>
      </c>
      <c r="B51">
        <v>14724332</v>
      </c>
      <c r="C51">
        <v>14724328</v>
      </c>
      <c r="D51">
        <v>10782254</v>
      </c>
      <c r="E51">
        <v>1</v>
      </c>
      <c r="F51">
        <v>1</v>
      </c>
      <c r="G51">
        <v>1</v>
      </c>
      <c r="H51">
        <v>2</v>
      </c>
      <c r="I51" t="s">
        <v>358</v>
      </c>
      <c r="J51" t="s">
        <v>359</v>
      </c>
      <c r="K51" t="s">
        <v>360</v>
      </c>
      <c r="L51">
        <v>1480</v>
      </c>
      <c r="N51">
        <v>1013</v>
      </c>
      <c r="O51" t="s">
        <v>361</v>
      </c>
      <c r="P51" t="s">
        <v>362</v>
      </c>
      <c r="Q51">
        <v>1</v>
      </c>
      <c r="Y51">
        <v>0.0375</v>
      </c>
      <c r="AA51">
        <v>0</v>
      </c>
      <c r="AB51">
        <v>89.99</v>
      </c>
      <c r="AC51">
        <v>10.06</v>
      </c>
      <c r="AD51">
        <v>0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0.03</v>
      </c>
      <c r="AU51" t="s">
        <v>551</v>
      </c>
      <c r="AV51">
        <v>0</v>
      </c>
      <c r="AW51">
        <v>2</v>
      </c>
      <c r="AX51">
        <v>14724342</v>
      </c>
      <c r="AY51">
        <v>1</v>
      </c>
      <c r="AZ51">
        <v>0</v>
      </c>
      <c r="BA51">
        <v>48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B51">
        <v>0</v>
      </c>
    </row>
    <row r="52" spans="1:80" ht="12.75">
      <c r="A52">
        <f>ROW(Source!A37)</f>
        <v>37</v>
      </c>
      <c r="B52">
        <v>14724333</v>
      </c>
      <c r="C52">
        <v>14724328</v>
      </c>
      <c r="D52">
        <v>11002500</v>
      </c>
      <c r="E52">
        <v>1</v>
      </c>
      <c r="F52">
        <v>1</v>
      </c>
      <c r="G52">
        <v>1</v>
      </c>
      <c r="H52">
        <v>2</v>
      </c>
      <c r="I52" t="s">
        <v>418</v>
      </c>
      <c r="J52" t="s">
        <v>419</v>
      </c>
      <c r="K52" t="s">
        <v>420</v>
      </c>
      <c r="L52">
        <v>1480</v>
      </c>
      <c r="N52">
        <v>1013</v>
      </c>
      <c r="O52" t="s">
        <v>361</v>
      </c>
      <c r="P52" t="s">
        <v>362</v>
      </c>
      <c r="Q52">
        <v>1</v>
      </c>
      <c r="Y52">
        <v>1.0625</v>
      </c>
      <c r="AA52">
        <v>0</v>
      </c>
      <c r="AB52">
        <v>60</v>
      </c>
      <c r="AC52">
        <v>0</v>
      </c>
      <c r="AD52">
        <v>0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0.85</v>
      </c>
      <c r="AU52" t="s">
        <v>551</v>
      </c>
      <c r="AV52">
        <v>0</v>
      </c>
      <c r="AW52">
        <v>2</v>
      </c>
      <c r="AX52">
        <v>14724343</v>
      </c>
      <c r="AY52">
        <v>1</v>
      </c>
      <c r="AZ52">
        <v>0</v>
      </c>
      <c r="BA52">
        <v>49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B52">
        <v>0</v>
      </c>
    </row>
    <row r="53" spans="1:80" ht="12.75">
      <c r="A53">
        <f>ROW(Source!A37)</f>
        <v>37</v>
      </c>
      <c r="B53">
        <v>14724334</v>
      </c>
      <c r="C53">
        <v>14724328</v>
      </c>
      <c r="D53">
        <v>10762668</v>
      </c>
      <c r="E53">
        <v>1</v>
      </c>
      <c r="F53">
        <v>1</v>
      </c>
      <c r="G53">
        <v>1</v>
      </c>
      <c r="H53">
        <v>2</v>
      </c>
      <c r="I53" t="s">
        <v>403</v>
      </c>
      <c r="J53" t="s">
        <v>404</v>
      </c>
      <c r="K53" t="s">
        <v>405</v>
      </c>
      <c r="L53">
        <v>1480</v>
      </c>
      <c r="N53">
        <v>1013</v>
      </c>
      <c r="O53" t="s">
        <v>361</v>
      </c>
      <c r="P53" t="s">
        <v>362</v>
      </c>
      <c r="Q53">
        <v>1</v>
      </c>
      <c r="Y53">
        <v>0.025</v>
      </c>
      <c r="AA53">
        <v>0</v>
      </c>
      <c r="AB53">
        <v>87.17</v>
      </c>
      <c r="AC53">
        <v>11.6</v>
      </c>
      <c r="AD53">
        <v>0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0.02</v>
      </c>
      <c r="AU53" t="s">
        <v>551</v>
      </c>
      <c r="AV53">
        <v>0</v>
      </c>
      <c r="AW53">
        <v>2</v>
      </c>
      <c r="AX53">
        <v>14724344</v>
      </c>
      <c r="AY53">
        <v>1</v>
      </c>
      <c r="AZ53">
        <v>0</v>
      </c>
      <c r="BA53">
        <v>50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B53">
        <v>0</v>
      </c>
    </row>
    <row r="54" spans="1:80" ht="12.75">
      <c r="A54">
        <f>ROW(Source!A37)</f>
        <v>37</v>
      </c>
      <c r="B54">
        <v>14724335</v>
      </c>
      <c r="C54">
        <v>14724328</v>
      </c>
      <c r="D54">
        <v>10776886</v>
      </c>
      <c r="E54">
        <v>1</v>
      </c>
      <c r="F54">
        <v>1</v>
      </c>
      <c r="G54">
        <v>1</v>
      </c>
      <c r="H54">
        <v>3</v>
      </c>
      <c r="I54" t="s">
        <v>12</v>
      </c>
      <c r="J54" t="s">
        <v>14</v>
      </c>
      <c r="K54" t="s">
        <v>13</v>
      </c>
      <c r="L54">
        <v>1348</v>
      </c>
      <c r="N54">
        <v>1009</v>
      </c>
      <c r="O54" t="s">
        <v>1</v>
      </c>
      <c r="P54" t="s">
        <v>1</v>
      </c>
      <c r="Q54">
        <v>1000</v>
      </c>
      <c r="Y54">
        <v>0.06</v>
      </c>
      <c r="AA54">
        <v>1487.6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0.06</v>
      </c>
      <c r="AV54">
        <v>0</v>
      </c>
      <c r="AW54">
        <v>2</v>
      </c>
      <c r="AX54">
        <v>14724345</v>
      </c>
      <c r="AY54">
        <v>1</v>
      </c>
      <c r="AZ54">
        <v>0</v>
      </c>
      <c r="BA54">
        <v>51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B54">
        <v>0</v>
      </c>
    </row>
    <row r="55" spans="1:80" ht="12.75">
      <c r="A55">
        <f>ROW(Source!A37)</f>
        <v>37</v>
      </c>
      <c r="B55">
        <v>14724336</v>
      </c>
      <c r="C55">
        <v>14724328</v>
      </c>
      <c r="D55">
        <v>10777280</v>
      </c>
      <c r="E55">
        <v>1</v>
      </c>
      <c r="F55">
        <v>1</v>
      </c>
      <c r="G55">
        <v>1</v>
      </c>
      <c r="H55">
        <v>3</v>
      </c>
      <c r="I55" t="s">
        <v>421</v>
      </c>
      <c r="J55" t="s">
        <v>422</v>
      </c>
      <c r="K55" t="s">
        <v>423</v>
      </c>
      <c r="L55">
        <v>1339</v>
      </c>
      <c r="N55">
        <v>1007</v>
      </c>
      <c r="O55" t="s">
        <v>561</v>
      </c>
      <c r="P55" t="s">
        <v>561</v>
      </c>
      <c r="Q55">
        <v>1</v>
      </c>
      <c r="Y55">
        <v>0.5</v>
      </c>
      <c r="AA55">
        <v>55.26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0.5</v>
      </c>
      <c r="AV55">
        <v>0</v>
      </c>
      <c r="AW55">
        <v>2</v>
      </c>
      <c r="AX55">
        <v>14724346</v>
      </c>
      <c r="AY55">
        <v>1</v>
      </c>
      <c r="AZ55">
        <v>0</v>
      </c>
      <c r="BA55">
        <v>52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B55">
        <v>0</v>
      </c>
    </row>
    <row r="56" spans="1:80" ht="12.75">
      <c r="A56">
        <f>ROW(Source!A37)</f>
        <v>37</v>
      </c>
      <c r="B56">
        <v>14724338</v>
      </c>
      <c r="C56">
        <v>14724328</v>
      </c>
      <c r="D56">
        <v>0</v>
      </c>
      <c r="E56">
        <v>0</v>
      </c>
      <c r="F56">
        <v>1</v>
      </c>
      <c r="G56">
        <v>1</v>
      </c>
      <c r="H56">
        <v>3</v>
      </c>
      <c r="I56" t="s">
        <v>571</v>
      </c>
      <c r="J56" t="s">
        <v>51</v>
      </c>
      <c r="K56" t="s">
        <v>4</v>
      </c>
      <c r="L56">
        <v>1348</v>
      </c>
      <c r="N56">
        <v>1009</v>
      </c>
      <c r="O56" t="s">
        <v>1</v>
      </c>
      <c r="P56" t="s">
        <v>1</v>
      </c>
      <c r="Q56">
        <v>1000</v>
      </c>
      <c r="Y56">
        <v>7.14</v>
      </c>
      <c r="AA56">
        <v>571.6</v>
      </c>
      <c r="AB56">
        <v>0</v>
      </c>
      <c r="AC56">
        <v>0</v>
      </c>
      <c r="AD56">
        <v>0</v>
      </c>
      <c r="AN56">
        <v>0</v>
      </c>
      <c r="AO56">
        <v>0</v>
      </c>
      <c r="AP56">
        <v>2</v>
      </c>
      <c r="AQ56">
        <v>0</v>
      </c>
      <c r="AR56">
        <v>0</v>
      </c>
      <c r="AT56">
        <v>7.14</v>
      </c>
      <c r="AV56">
        <v>0</v>
      </c>
      <c r="AW56">
        <v>1</v>
      </c>
      <c r="AX56">
        <v>-1</v>
      </c>
      <c r="AY56">
        <v>0</v>
      </c>
      <c r="AZ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B56">
        <v>0</v>
      </c>
    </row>
    <row r="57" spans="1:80" ht="12.75">
      <c r="A57">
        <f>ROW(Source!A37)</f>
        <v>37</v>
      </c>
      <c r="B57">
        <v>14724337</v>
      </c>
      <c r="C57">
        <v>14724328</v>
      </c>
      <c r="D57">
        <v>11336508</v>
      </c>
      <c r="E57">
        <v>1</v>
      </c>
      <c r="F57">
        <v>1</v>
      </c>
      <c r="G57">
        <v>1</v>
      </c>
      <c r="H57">
        <v>3</v>
      </c>
      <c r="I57" t="s">
        <v>46</v>
      </c>
      <c r="J57" t="s">
        <v>48</v>
      </c>
      <c r="K57" t="s">
        <v>47</v>
      </c>
      <c r="L57">
        <v>1348</v>
      </c>
      <c r="N57">
        <v>1009</v>
      </c>
      <c r="O57" t="s">
        <v>1</v>
      </c>
      <c r="P57" t="s">
        <v>1</v>
      </c>
      <c r="Q57">
        <v>1000</v>
      </c>
      <c r="Y57">
        <v>-7.14</v>
      </c>
      <c r="AA57">
        <v>455.39</v>
      </c>
      <c r="AB57">
        <v>0</v>
      </c>
      <c r="AC57">
        <v>0</v>
      </c>
      <c r="AD57">
        <v>0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-7.14</v>
      </c>
      <c r="AV57">
        <v>0</v>
      </c>
      <c r="AW57">
        <v>2</v>
      </c>
      <c r="AX57">
        <v>14724347</v>
      </c>
      <c r="AY57">
        <v>2</v>
      </c>
      <c r="AZ57">
        <v>12288</v>
      </c>
      <c r="BA57">
        <v>53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B57">
        <v>0</v>
      </c>
    </row>
    <row r="58" spans="1:80" ht="12.75">
      <c r="A58">
        <f>ROW(Source!A40)</f>
        <v>40</v>
      </c>
      <c r="B58">
        <v>14724351</v>
      </c>
      <c r="C58">
        <v>14724350</v>
      </c>
      <c r="D58">
        <v>12171686</v>
      </c>
      <c r="E58">
        <v>1</v>
      </c>
      <c r="F58">
        <v>1</v>
      </c>
      <c r="G58">
        <v>1</v>
      </c>
      <c r="H58">
        <v>1</v>
      </c>
      <c r="I58" t="s">
        <v>416</v>
      </c>
      <c r="K58" t="s">
        <v>417</v>
      </c>
      <c r="L58">
        <v>1369</v>
      </c>
      <c r="N58">
        <v>1013</v>
      </c>
      <c r="O58" t="s">
        <v>356</v>
      </c>
      <c r="P58" t="s">
        <v>356</v>
      </c>
      <c r="Q58">
        <v>1</v>
      </c>
      <c r="Y58">
        <v>2.6679999999999997</v>
      </c>
      <c r="AA58">
        <v>0</v>
      </c>
      <c r="AB58">
        <v>0</v>
      </c>
      <c r="AC58">
        <v>0</v>
      </c>
      <c r="AD58">
        <v>9.29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2.32</v>
      </c>
      <c r="AU58" t="s">
        <v>552</v>
      </c>
      <c r="AV58">
        <v>1</v>
      </c>
      <c r="AW58">
        <v>2</v>
      </c>
      <c r="AX58">
        <v>14724355</v>
      </c>
      <c r="AY58">
        <v>1</v>
      </c>
      <c r="AZ58">
        <v>0</v>
      </c>
      <c r="BA58">
        <v>54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B58">
        <v>0</v>
      </c>
    </row>
    <row r="59" spans="1:80" ht="12.75">
      <c r="A59">
        <f>ROW(Source!A40)</f>
        <v>40</v>
      </c>
      <c r="B59">
        <v>14724352</v>
      </c>
      <c r="C59">
        <v>14724350</v>
      </c>
      <c r="D59">
        <v>11002500</v>
      </c>
      <c r="E59">
        <v>1</v>
      </c>
      <c r="F59">
        <v>1</v>
      </c>
      <c r="G59">
        <v>1</v>
      </c>
      <c r="H59">
        <v>2</v>
      </c>
      <c r="I59" t="s">
        <v>418</v>
      </c>
      <c r="J59" t="s">
        <v>419</v>
      </c>
      <c r="K59" t="s">
        <v>420</v>
      </c>
      <c r="L59">
        <v>1480</v>
      </c>
      <c r="N59">
        <v>1013</v>
      </c>
      <c r="O59" t="s">
        <v>361</v>
      </c>
      <c r="P59" t="s">
        <v>362</v>
      </c>
      <c r="Q59">
        <v>1</v>
      </c>
      <c r="Y59">
        <v>0.175</v>
      </c>
      <c r="AA59">
        <v>0</v>
      </c>
      <c r="AB59">
        <v>60</v>
      </c>
      <c r="AC59">
        <v>0</v>
      </c>
      <c r="AD59">
        <v>0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0.14</v>
      </c>
      <c r="AU59" t="s">
        <v>551</v>
      </c>
      <c r="AV59">
        <v>0</v>
      </c>
      <c r="AW59">
        <v>2</v>
      </c>
      <c r="AX59">
        <v>14724356</v>
      </c>
      <c r="AY59">
        <v>1</v>
      </c>
      <c r="AZ59">
        <v>0</v>
      </c>
      <c r="BA59">
        <v>55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B59">
        <v>0</v>
      </c>
    </row>
    <row r="60" spans="1:80" ht="12.75">
      <c r="A60">
        <f>ROW(Source!A40)</f>
        <v>40</v>
      </c>
      <c r="B60">
        <v>14724354</v>
      </c>
      <c r="C60">
        <v>14724350</v>
      </c>
      <c r="D60">
        <v>11336462</v>
      </c>
      <c r="E60">
        <v>1</v>
      </c>
      <c r="F60">
        <v>1</v>
      </c>
      <c r="G60">
        <v>1</v>
      </c>
      <c r="H60">
        <v>3</v>
      </c>
      <c r="I60" t="s">
        <v>571</v>
      </c>
      <c r="J60" t="s">
        <v>5</v>
      </c>
      <c r="K60" t="s">
        <v>4</v>
      </c>
      <c r="L60">
        <v>1348</v>
      </c>
      <c r="N60">
        <v>1009</v>
      </c>
      <c r="O60" t="s">
        <v>1</v>
      </c>
      <c r="P60" t="s">
        <v>1</v>
      </c>
      <c r="Q60">
        <v>1000</v>
      </c>
      <c r="Y60">
        <v>1.21</v>
      </c>
      <c r="AA60">
        <v>571.6</v>
      </c>
      <c r="AB60">
        <v>0</v>
      </c>
      <c r="AC60">
        <v>0</v>
      </c>
      <c r="AD60">
        <v>0</v>
      </c>
      <c r="AN60">
        <v>0</v>
      </c>
      <c r="AO60">
        <v>0</v>
      </c>
      <c r="AP60">
        <v>2</v>
      </c>
      <c r="AQ60">
        <v>0</v>
      </c>
      <c r="AR60">
        <v>0</v>
      </c>
      <c r="AT60">
        <v>1.21</v>
      </c>
      <c r="AV60">
        <v>0</v>
      </c>
      <c r="AW60">
        <v>1</v>
      </c>
      <c r="AX60">
        <v>-1</v>
      </c>
      <c r="AY60">
        <v>0</v>
      </c>
      <c r="AZ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B60">
        <v>0</v>
      </c>
    </row>
    <row r="61" spans="1:80" ht="12.75">
      <c r="A61">
        <f>ROW(Source!A40)</f>
        <v>40</v>
      </c>
      <c r="B61">
        <v>14724353</v>
      </c>
      <c r="C61">
        <v>14724350</v>
      </c>
      <c r="D61">
        <v>11336508</v>
      </c>
      <c r="E61">
        <v>1</v>
      </c>
      <c r="F61">
        <v>1</v>
      </c>
      <c r="G61">
        <v>1</v>
      </c>
      <c r="H61">
        <v>3</v>
      </c>
      <c r="I61" t="s">
        <v>46</v>
      </c>
      <c r="J61" t="s">
        <v>48</v>
      </c>
      <c r="K61" t="s">
        <v>47</v>
      </c>
      <c r="L61">
        <v>1348</v>
      </c>
      <c r="N61">
        <v>1009</v>
      </c>
      <c r="O61" t="s">
        <v>1</v>
      </c>
      <c r="P61" t="s">
        <v>1</v>
      </c>
      <c r="Q61">
        <v>1000</v>
      </c>
      <c r="Y61">
        <v>-1.21</v>
      </c>
      <c r="AA61">
        <v>455.39</v>
      </c>
      <c r="AB61">
        <v>0</v>
      </c>
      <c r="AC61">
        <v>0</v>
      </c>
      <c r="AD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-1.21</v>
      </c>
      <c r="AV61">
        <v>0</v>
      </c>
      <c r="AW61">
        <v>2</v>
      </c>
      <c r="AX61">
        <v>14724357</v>
      </c>
      <c r="AY61">
        <v>2</v>
      </c>
      <c r="AZ61">
        <v>12288</v>
      </c>
      <c r="BA61">
        <v>56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B61">
        <v>0</v>
      </c>
    </row>
    <row r="62" spans="1:80" ht="12.75">
      <c r="A62">
        <f>ROW(Source!A43)</f>
        <v>43</v>
      </c>
      <c r="B62">
        <v>14724361</v>
      </c>
      <c r="C62">
        <v>14724360</v>
      </c>
      <c r="D62">
        <v>121548</v>
      </c>
      <c r="E62">
        <v>1</v>
      </c>
      <c r="F62">
        <v>1</v>
      </c>
      <c r="G62">
        <v>1</v>
      </c>
      <c r="H62">
        <v>1</v>
      </c>
      <c r="I62" t="s">
        <v>566</v>
      </c>
      <c r="K62" t="s">
        <v>357</v>
      </c>
      <c r="L62">
        <v>1369</v>
      </c>
      <c r="N62">
        <v>1013</v>
      </c>
      <c r="O62" t="s">
        <v>356</v>
      </c>
      <c r="P62" t="s">
        <v>356</v>
      </c>
      <c r="Q62">
        <v>1</v>
      </c>
      <c r="Y62">
        <v>0.029</v>
      </c>
      <c r="AA62">
        <v>0</v>
      </c>
      <c r="AB62">
        <v>0</v>
      </c>
      <c r="AC62">
        <v>0</v>
      </c>
      <c r="AD62">
        <v>0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0.029</v>
      </c>
      <c r="AV62">
        <v>2</v>
      </c>
      <c r="AW62">
        <v>2</v>
      </c>
      <c r="AX62">
        <v>14724363</v>
      </c>
      <c r="AY62">
        <v>1</v>
      </c>
      <c r="AZ62">
        <v>0</v>
      </c>
      <c r="BA62">
        <v>57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B62">
        <v>0</v>
      </c>
    </row>
    <row r="63" spans="1:80" ht="12.75">
      <c r="A63">
        <f>ROW(Source!A43)</f>
        <v>43</v>
      </c>
      <c r="B63">
        <v>14724362</v>
      </c>
      <c r="C63">
        <v>14724360</v>
      </c>
      <c r="D63">
        <v>10776638</v>
      </c>
      <c r="E63">
        <v>1</v>
      </c>
      <c r="F63">
        <v>1</v>
      </c>
      <c r="G63">
        <v>1</v>
      </c>
      <c r="H63">
        <v>2</v>
      </c>
      <c r="I63" t="s">
        <v>424</v>
      </c>
      <c r="J63" t="s">
        <v>425</v>
      </c>
      <c r="K63" t="s">
        <v>426</v>
      </c>
      <c r="L63">
        <v>1480</v>
      </c>
      <c r="N63">
        <v>1013</v>
      </c>
      <c r="O63" t="s">
        <v>361</v>
      </c>
      <c r="P63" t="s">
        <v>362</v>
      </c>
      <c r="Q63">
        <v>1</v>
      </c>
      <c r="Y63">
        <v>0.029</v>
      </c>
      <c r="AA63">
        <v>0</v>
      </c>
      <c r="AB63">
        <v>125.7</v>
      </c>
      <c r="AC63">
        <v>13.5</v>
      </c>
      <c r="AD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0.029</v>
      </c>
      <c r="AV63">
        <v>0</v>
      </c>
      <c r="AW63">
        <v>2</v>
      </c>
      <c r="AX63">
        <v>14724364</v>
      </c>
      <c r="AY63">
        <v>1</v>
      </c>
      <c r="AZ63">
        <v>0</v>
      </c>
      <c r="BA63">
        <v>58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B63">
        <v>0</v>
      </c>
    </row>
    <row r="64" spans="1:80" ht="12.75">
      <c r="A64">
        <f>ROW(Source!A44)</f>
        <v>44</v>
      </c>
      <c r="B64">
        <v>14724366</v>
      </c>
      <c r="C64">
        <v>14724365</v>
      </c>
      <c r="D64">
        <v>121548</v>
      </c>
      <c r="E64">
        <v>1</v>
      </c>
      <c r="F64">
        <v>1</v>
      </c>
      <c r="G64">
        <v>1</v>
      </c>
      <c r="H64">
        <v>1</v>
      </c>
      <c r="I64" t="s">
        <v>566</v>
      </c>
      <c r="K64" t="s">
        <v>357</v>
      </c>
      <c r="L64">
        <v>1369</v>
      </c>
      <c r="N64">
        <v>1013</v>
      </c>
      <c r="O64" t="s">
        <v>356</v>
      </c>
      <c r="P64" t="s">
        <v>356</v>
      </c>
      <c r="Q64">
        <v>1</v>
      </c>
      <c r="Y64">
        <v>1.052</v>
      </c>
      <c r="AA64">
        <v>0</v>
      </c>
      <c r="AB64">
        <v>0</v>
      </c>
      <c r="AC64">
        <v>0</v>
      </c>
      <c r="AD64">
        <v>0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1.052</v>
      </c>
      <c r="AV64">
        <v>2</v>
      </c>
      <c r="AW64">
        <v>2</v>
      </c>
      <c r="AX64">
        <v>14724368</v>
      </c>
      <c r="AY64">
        <v>1</v>
      </c>
      <c r="AZ64">
        <v>0</v>
      </c>
      <c r="BA64">
        <v>59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B64">
        <v>0</v>
      </c>
    </row>
    <row r="65" spans="1:80" ht="12.75">
      <c r="A65">
        <f>ROW(Source!A44)</f>
        <v>44</v>
      </c>
      <c r="B65">
        <v>14724367</v>
      </c>
      <c r="C65">
        <v>14724365</v>
      </c>
      <c r="D65">
        <v>10775742</v>
      </c>
      <c r="E65">
        <v>1</v>
      </c>
      <c r="F65">
        <v>1</v>
      </c>
      <c r="G65">
        <v>1</v>
      </c>
      <c r="H65">
        <v>2</v>
      </c>
      <c r="I65" t="s">
        <v>427</v>
      </c>
      <c r="J65" t="s">
        <v>428</v>
      </c>
      <c r="K65" t="s">
        <v>429</v>
      </c>
      <c r="L65">
        <v>1480</v>
      </c>
      <c r="N65">
        <v>1013</v>
      </c>
      <c r="O65" t="s">
        <v>361</v>
      </c>
      <c r="P65" t="s">
        <v>362</v>
      </c>
      <c r="Q65">
        <v>1</v>
      </c>
      <c r="Y65">
        <v>1.052</v>
      </c>
      <c r="AA65">
        <v>0</v>
      </c>
      <c r="AB65">
        <v>112.47</v>
      </c>
      <c r="AC65">
        <v>13.5</v>
      </c>
      <c r="AD65">
        <v>0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1.052</v>
      </c>
      <c r="AV65">
        <v>0</v>
      </c>
      <c r="AW65">
        <v>2</v>
      </c>
      <c r="AX65">
        <v>14724369</v>
      </c>
      <c r="AY65">
        <v>1</v>
      </c>
      <c r="AZ65">
        <v>0</v>
      </c>
      <c r="BA65">
        <v>60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B65">
        <v>0</v>
      </c>
    </row>
    <row r="66" spans="1:80" ht="12.75">
      <c r="A66">
        <f>ROW(Source!A45)</f>
        <v>45</v>
      </c>
      <c r="B66">
        <v>14724371</v>
      </c>
      <c r="C66">
        <v>14724370</v>
      </c>
      <c r="D66">
        <v>12171502</v>
      </c>
      <c r="E66">
        <v>1</v>
      </c>
      <c r="F66">
        <v>1</v>
      </c>
      <c r="G66">
        <v>1</v>
      </c>
      <c r="H66">
        <v>1</v>
      </c>
      <c r="I66" t="s">
        <v>430</v>
      </c>
      <c r="K66" t="s">
        <v>431</v>
      </c>
      <c r="L66">
        <v>1369</v>
      </c>
      <c r="N66">
        <v>1013</v>
      </c>
      <c r="O66" t="s">
        <v>356</v>
      </c>
      <c r="P66" t="s">
        <v>356</v>
      </c>
      <c r="Q66">
        <v>1</v>
      </c>
      <c r="Y66">
        <v>4.53</v>
      </c>
      <c r="AA66">
        <v>0</v>
      </c>
      <c r="AB66">
        <v>0</v>
      </c>
      <c r="AC66">
        <v>0</v>
      </c>
      <c r="AD66">
        <v>8.53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4.53</v>
      </c>
      <c r="AV66">
        <v>1</v>
      </c>
      <c r="AW66">
        <v>2</v>
      </c>
      <c r="AX66">
        <v>14724377</v>
      </c>
      <c r="AY66">
        <v>1</v>
      </c>
      <c r="AZ66">
        <v>0</v>
      </c>
      <c r="BA66">
        <v>61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B66">
        <v>0</v>
      </c>
    </row>
    <row r="67" spans="1:80" ht="12.75">
      <c r="A67">
        <f>ROW(Source!A45)</f>
        <v>45</v>
      </c>
      <c r="B67">
        <v>14724372</v>
      </c>
      <c r="C67">
        <v>14724370</v>
      </c>
      <c r="D67">
        <v>10762668</v>
      </c>
      <c r="E67">
        <v>1</v>
      </c>
      <c r="F67">
        <v>1</v>
      </c>
      <c r="G67">
        <v>1</v>
      </c>
      <c r="H67">
        <v>2</v>
      </c>
      <c r="I67" t="s">
        <v>403</v>
      </c>
      <c r="J67" t="s">
        <v>404</v>
      </c>
      <c r="K67" t="s">
        <v>405</v>
      </c>
      <c r="L67">
        <v>1480</v>
      </c>
      <c r="N67">
        <v>1013</v>
      </c>
      <c r="O67" t="s">
        <v>361</v>
      </c>
      <c r="P67" t="s">
        <v>362</v>
      </c>
      <c r="Q67">
        <v>1</v>
      </c>
      <c r="Y67">
        <v>0.1</v>
      </c>
      <c r="AA67">
        <v>0</v>
      </c>
      <c r="AB67">
        <v>87.17</v>
      </c>
      <c r="AC67">
        <v>11.6</v>
      </c>
      <c r="AD67">
        <v>0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0.1</v>
      </c>
      <c r="AV67">
        <v>0</v>
      </c>
      <c r="AW67">
        <v>2</v>
      </c>
      <c r="AX67">
        <v>14724378</v>
      </c>
      <c r="AY67">
        <v>1</v>
      </c>
      <c r="AZ67">
        <v>0</v>
      </c>
      <c r="BA67">
        <v>62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B67">
        <v>0</v>
      </c>
    </row>
    <row r="68" spans="1:80" ht="12.75">
      <c r="A68">
        <f>ROW(Source!A45)</f>
        <v>45</v>
      </c>
      <c r="B68">
        <v>14724373</v>
      </c>
      <c r="C68">
        <v>14724370</v>
      </c>
      <c r="D68">
        <v>11113971</v>
      </c>
      <c r="E68">
        <v>1</v>
      </c>
      <c r="F68">
        <v>1</v>
      </c>
      <c r="G68">
        <v>1</v>
      </c>
      <c r="H68">
        <v>3</v>
      </c>
      <c r="I68" t="s">
        <v>78</v>
      </c>
      <c r="J68" t="s">
        <v>80</v>
      </c>
      <c r="K68" t="s">
        <v>79</v>
      </c>
      <c r="L68">
        <v>1354</v>
      </c>
      <c r="N68">
        <v>1010</v>
      </c>
      <c r="O68" t="s">
        <v>72</v>
      </c>
      <c r="P68" t="s">
        <v>72</v>
      </c>
      <c r="Q68">
        <v>1</v>
      </c>
      <c r="Y68">
        <v>-1</v>
      </c>
      <c r="AA68">
        <v>569.52</v>
      </c>
      <c r="AB68">
        <v>0</v>
      </c>
      <c r="AC68">
        <v>0</v>
      </c>
      <c r="AD68">
        <v>0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-1</v>
      </c>
      <c r="AV68">
        <v>0</v>
      </c>
      <c r="AW68">
        <v>2</v>
      </c>
      <c r="AX68">
        <v>14724379</v>
      </c>
      <c r="AY68">
        <v>2</v>
      </c>
      <c r="AZ68">
        <v>12288</v>
      </c>
      <c r="BA68">
        <v>63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B68">
        <v>0</v>
      </c>
    </row>
    <row r="69" spans="1:80" ht="12.75">
      <c r="A69">
        <f>ROW(Source!A45)</f>
        <v>45</v>
      </c>
      <c r="B69">
        <v>14724374</v>
      </c>
      <c r="C69">
        <v>14724370</v>
      </c>
      <c r="D69">
        <v>10792135</v>
      </c>
      <c r="E69">
        <v>1</v>
      </c>
      <c r="F69">
        <v>1</v>
      </c>
      <c r="G69">
        <v>1</v>
      </c>
      <c r="H69">
        <v>3</v>
      </c>
      <c r="I69" t="s">
        <v>432</v>
      </c>
      <c r="J69" t="s">
        <v>433</v>
      </c>
      <c r="K69" t="s">
        <v>434</v>
      </c>
      <c r="L69">
        <v>1339</v>
      </c>
      <c r="N69">
        <v>1007</v>
      </c>
      <c r="O69" t="s">
        <v>561</v>
      </c>
      <c r="P69" t="s">
        <v>561</v>
      </c>
      <c r="Q69">
        <v>1</v>
      </c>
      <c r="Y69">
        <v>0.35</v>
      </c>
      <c r="AA69">
        <v>580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0.35</v>
      </c>
      <c r="AV69">
        <v>0</v>
      </c>
      <c r="AW69">
        <v>2</v>
      </c>
      <c r="AX69">
        <v>14724380</v>
      </c>
      <c r="AY69">
        <v>1</v>
      </c>
      <c r="AZ69">
        <v>0</v>
      </c>
      <c r="BA69">
        <v>64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B69">
        <v>0</v>
      </c>
    </row>
    <row r="70" spans="1:80" ht="12.75">
      <c r="A70">
        <f>ROW(Source!A45)</f>
        <v>45</v>
      </c>
      <c r="B70">
        <v>14724375</v>
      </c>
      <c r="C70">
        <v>14724370</v>
      </c>
      <c r="D70">
        <v>10773770</v>
      </c>
      <c r="E70">
        <v>1</v>
      </c>
      <c r="F70">
        <v>1</v>
      </c>
      <c r="G70">
        <v>1</v>
      </c>
      <c r="H70">
        <v>3</v>
      </c>
      <c r="I70" t="s">
        <v>435</v>
      </c>
      <c r="J70" t="s">
        <v>436</v>
      </c>
      <c r="K70" t="s">
        <v>437</v>
      </c>
      <c r="L70">
        <v>1339</v>
      </c>
      <c r="N70">
        <v>1007</v>
      </c>
      <c r="O70" t="s">
        <v>561</v>
      </c>
      <c r="P70" t="s">
        <v>561</v>
      </c>
      <c r="Q70">
        <v>1</v>
      </c>
      <c r="Y70">
        <v>0.03</v>
      </c>
      <c r="AA70">
        <v>485.9</v>
      </c>
      <c r="AB70">
        <v>0</v>
      </c>
      <c r="AC70">
        <v>0</v>
      </c>
      <c r="AD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0.03</v>
      </c>
      <c r="AV70">
        <v>0</v>
      </c>
      <c r="AW70">
        <v>2</v>
      </c>
      <c r="AX70">
        <v>14724381</v>
      </c>
      <c r="AY70">
        <v>1</v>
      </c>
      <c r="AZ70">
        <v>0</v>
      </c>
      <c r="BA70">
        <v>65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B70">
        <v>0</v>
      </c>
    </row>
    <row r="71" spans="1:80" ht="12.75">
      <c r="A71">
        <f>ROW(Source!A45)</f>
        <v>45</v>
      </c>
      <c r="B71">
        <v>14724376</v>
      </c>
      <c r="C71">
        <v>14724370</v>
      </c>
      <c r="D71">
        <v>11099091</v>
      </c>
      <c r="E71">
        <v>1</v>
      </c>
      <c r="F71">
        <v>1</v>
      </c>
      <c r="G71">
        <v>1</v>
      </c>
      <c r="H71">
        <v>3</v>
      </c>
      <c r="I71" t="s">
        <v>438</v>
      </c>
      <c r="J71" t="s">
        <v>439</v>
      </c>
      <c r="K71" t="s">
        <v>440</v>
      </c>
      <c r="L71">
        <v>1356</v>
      </c>
      <c r="N71">
        <v>1010</v>
      </c>
      <c r="O71" t="s">
        <v>441</v>
      </c>
      <c r="P71" t="s">
        <v>441</v>
      </c>
      <c r="Q71">
        <v>1000</v>
      </c>
      <c r="Y71">
        <v>0.017</v>
      </c>
      <c r="AA71">
        <v>1752.6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0.017</v>
      </c>
      <c r="AV71">
        <v>0</v>
      </c>
      <c r="AW71">
        <v>2</v>
      </c>
      <c r="AX71">
        <v>14724382</v>
      </c>
      <c r="AY71">
        <v>1</v>
      </c>
      <c r="AZ71">
        <v>0</v>
      </c>
      <c r="BA71">
        <v>66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B71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66"/>
  <sheetViews>
    <sheetView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14724234</v>
      </c>
      <c r="C1">
        <v>14724224</v>
      </c>
      <c r="D1">
        <v>12171590</v>
      </c>
      <c r="E1">
        <v>1</v>
      </c>
      <c r="F1">
        <v>1</v>
      </c>
      <c r="G1">
        <v>1</v>
      </c>
      <c r="H1">
        <v>1</v>
      </c>
      <c r="I1" t="s">
        <v>354</v>
      </c>
      <c r="K1" t="s">
        <v>355</v>
      </c>
      <c r="L1">
        <v>1369</v>
      </c>
      <c r="N1">
        <v>1013</v>
      </c>
      <c r="O1" t="s">
        <v>356</v>
      </c>
      <c r="P1" t="s">
        <v>356</v>
      </c>
      <c r="Q1">
        <v>1</v>
      </c>
      <c r="X1">
        <v>24.19</v>
      </c>
      <c r="Y1">
        <v>0</v>
      </c>
      <c r="Z1">
        <v>0</v>
      </c>
      <c r="AA1">
        <v>0</v>
      </c>
      <c r="AB1">
        <v>8.09</v>
      </c>
      <c r="AC1">
        <v>0</v>
      </c>
      <c r="AD1">
        <v>1</v>
      </c>
      <c r="AE1">
        <v>1</v>
      </c>
      <c r="AF1" t="s">
        <v>552</v>
      </c>
      <c r="AG1">
        <v>27.8185</v>
      </c>
      <c r="AH1">
        <v>2</v>
      </c>
      <c r="AI1">
        <v>14724225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14724235</v>
      </c>
      <c r="C2">
        <v>14724224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566</v>
      </c>
      <c r="K2" t="s">
        <v>357</v>
      </c>
      <c r="L2">
        <v>1369</v>
      </c>
      <c r="N2">
        <v>1013</v>
      </c>
      <c r="O2" t="s">
        <v>356</v>
      </c>
      <c r="P2" t="s">
        <v>356</v>
      </c>
      <c r="Q2">
        <v>1</v>
      </c>
      <c r="X2">
        <v>20.6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551</v>
      </c>
      <c r="AG2">
        <v>25.75</v>
      </c>
      <c r="AH2">
        <v>2</v>
      </c>
      <c r="AI2">
        <v>14724226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14724236</v>
      </c>
      <c r="C3">
        <v>14724224</v>
      </c>
      <c r="D3">
        <v>10782254</v>
      </c>
      <c r="E3">
        <v>1</v>
      </c>
      <c r="F3">
        <v>1</v>
      </c>
      <c r="G3">
        <v>1</v>
      </c>
      <c r="H3">
        <v>2</v>
      </c>
      <c r="I3" t="s">
        <v>358</v>
      </c>
      <c r="J3" t="s">
        <v>359</v>
      </c>
      <c r="K3" t="s">
        <v>360</v>
      </c>
      <c r="L3">
        <v>1480</v>
      </c>
      <c r="N3">
        <v>1013</v>
      </c>
      <c r="O3" t="s">
        <v>361</v>
      </c>
      <c r="P3" t="s">
        <v>362</v>
      </c>
      <c r="Q3">
        <v>1</v>
      </c>
      <c r="X3">
        <v>2.46</v>
      </c>
      <c r="Y3">
        <v>0</v>
      </c>
      <c r="Z3">
        <v>89.99</v>
      </c>
      <c r="AA3">
        <v>10.06</v>
      </c>
      <c r="AB3">
        <v>0</v>
      </c>
      <c r="AC3">
        <v>0</v>
      </c>
      <c r="AD3">
        <v>1</v>
      </c>
      <c r="AE3">
        <v>0</v>
      </c>
      <c r="AF3" t="s">
        <v>551</v>
      </c>
      <c r="AG3">
        <v>3.075</v>
      </c>
      <c r="AH3">
        <v>2</v>
      </c>
      <c r="AI3">
        <v>14724227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ROW(Source!A24)</f>
        <v>24</v>
      </c>
      <c r="B4">
        <v>14724237</v>
      </c>
      <c r="C4">
        <v>14724224</v>
      </c>
      <c r="D4">
        <v>10776639</v>
      </c>
      <c r="E4">
        <v>1</v>
      </c>
      <c r="F4">
        <v>1</v>
      </c>
      <c r="G4">
        <v>1</v>
      </c>
      <c r="H4">
        <v>2</v>
      </c>
      <c r="I4" t="s">
        <v>363</v>
      </c>
      <c r="J4" t="s">
        <v>364</v>
      </c>
      <c r="K4" t="s">
        <v>365</v>
      </c>
      <c r="L4">
        <v>1480</v>
      </c>
      <c r="N4">
        <v>1013</v>
      </c>
      <c r="O4" t="s">
        <v>361</v>
      </c>
      <c r="P4" t="s">
        <v>362</v>
      </c>
      <c r="Q4">
        <v>1</v>
      </c>
      <c r="X4">
        <v>2.59</v>
      </c>
      <c r="Y4">
        <v>0</v>
      </c>
      <c r="Z4">
        <v>80.01</v>
      </c>
      <c r="AA4">
        <v>14.4</v>
      </c>
      <c r="AB4">
        <v>0</v>
      </c>
      <c r="AC4">
        <v>0</v>
      </c>
      <c r="AD4">
        <v>1</v>
      </c>
      <c r="AE4">
        <v>0</v>
      </c>
      <c r="AF4" t="s">
        <v>551</v>
      </c>
      <c r="AG4">
        <v>3.2375</v>
      </c>
      <c r="AH4">
        <v>2</v>
      </c>
      <c r="AI4">
        <v>14724228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ROW(Source!A24)</f>
        <v>24</v>
      </c>
      <c r="B5">
        <v>14724238</v>
      </c>
      <c r="C5">
        <v>14724224</v>
      </c>
      <c r="D5">
        <v>10776530</v>
      </c>
      <c r="E5">
        <v>1</v>
      </c>
      <c r="F5">
        <v>1</v>
      </c>
      <c r="G5">
        <v>1</v>
      </c>
      <c r="H5">
        <v>2</v>
      </c>
      <c r="I5" t="s">
        <v>366</v>
      </c>
      <c r="J5" t="s">
        <v>367</v>
      </c>
      <c r="K5" t="s">
        <v>368</v>
      </c>
      <c r="L5">
        <v>1480</v>
      </c>
      <c r="N5">
        <v>1013</v>
      </c>
      <c r="O5" t="s">
        <v>361</v>
      </c>
      <c r="P5" t="s">
        <v>362</v>
      </c>
      <c r="Q5">
        <v>1</v>
      </c>
      <c r="X5">
        <v>2.3</v>
      </c>
      <c r="Y5">
        <v>0</v>
      </c>
      <c r="Z5">
        <v>123</v>
      </c>
      <c r="AA5">
        <v>13.5</v>
      </c>
      <c r="AB5">
        <v>0</v>
      </c>
      <c r="AC5">
        <v>0</v>
      </c>
      <c r="AD5">
        <v>1</v>
      </c>
      <c r="AE5">
        <v>0</v>
      </c>
      <c r="AF5" t="s">
        <v>551</v>
      </c>
      <c r="AG5">
        <v>2.875</v>
      </c>
      <c r="AH5">
        <v>2</v>
      </c>
      <c r="AI5">
        <v>14724229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ROW(Source!A24)</f>
        <v>24</v>
      </c>
      <c r="B6">
        <v>14724239</v>
      </c>
      <c r="C6">
        <v>14724224</v>
      </c>
      <c r="D6">
        <v>11001039</v>
      </c>
      <c r="E6">
        <v>1</v>
      </c>
      <c r="F6">
        <v>1</v>
      </c>
      <c r="G6">
        <v>1</v>
      </c>
      <c r="H6">
        <v>2</v>
      </c>
      <c r="I6" t="s">
        <v>369</v>
      </c>
      <c r="J6" t="s">
        <v>370</v>
      </c>
      <c r="K6" t="s">
        <v>371</v>
      </c>
      <c r="L6">
        <v>1480</v>
      </c>
      <c r="N6">
        <v>1013</v>
      </c>
      <c r="O6" t="s">
        <v>361</v>
      </c>
      <c r="P6" t="s">
        <v>362</v>
      </c>
      <c r="Q6">
        <v>1</v>
      </c>
      <c r="X6">
        <v>12.21</v>
      </c>
      <c r="Y6">
        <v>0</v>
      </c>
      <c r="Z6">
        <v>206.01</v>
      </c>
      <c r="AA6">
        <v>14.4</v>
      </c>
      <c r="AB6">
        <v>0</v>
      </c>
      <c r="AC6">
        <v>0</v>
      </c>
      <c r="AD6">
        <v>1</v>
      </c>
      <c r="AE6">
        <v>0</v>
      </c>
      <c r="AF6" t="s">
        <v>551</v>
      </c>
      <c r="AG6">
        <v>15.2625</v>
      </c>
      <c r="AH6">
        <v>2</v>
      </c>
      <c r="AI6">
        <v>14724230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ROW(Source!A24)</f>
        <v>24</v>
      </c>
      <c r="B7">
        <v>14724240</v>
      </c>
      <c r="C7">
        <v>14724224</v>
      </c>
      <c r="D7">
        <v>10772483</v>
      </c>
      <c r="E7">
        <v>1</v>
      </c>
      <c r="F7">
        <v>1</v>
      </c>
      <c r="G7">
        <v>1</v>
      </c>
      <c r="H7">
        <v>2</v>
      </c>
      <c r="I7" t="s">
        <v>372</v>
      </c>
      <c r="J7" t="s">
        <v>373</v>
      </c>
      <c r="K7" t="s">
        <v>374</v>
      </c>
      <c r="L7">
        <v>1480</v>
      </c>
      <c r="N7">
        <v>1013</v>
      </c>
      <c r="O7" t="s">
        <v>361</v>
      </c>
      <c r="P7" t="s">
        <v>362</v>
      </c>
      <c r="Q7">
        <v>1</v>
      </c>
      <c r="X7">
        <v>1.04</v>
      </c>
      <c r="Y7">
        <v>0</v>
      </c>
      <c r="Z7">
        <v>110</v>
      </c>
      <c r="AA7">
        <v>11.6</v>
      </c>
      <c r="AB7">
        <v>0</v>
      </c>
      <c r="AC7">
        <v>0</v>
      </c>
      <c r="AD7">
        <v>1</v>
      </c>
      <c r="AE7">
        <v>0</v>
      </c>
      <c r="AF7" t="s">
        <v>551</v>
      </c>
      <c r="AG7">
        <v>1.3</v>
      </c>
      <c r="AH7">
        <v>2</v>
      </c>
      <c r="AI7">
        <v>14724231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ROW(Source!A24)</f>
        <v>24</v>
      </c>
      <c r="B8">
        <v>14724241</v>
      </c>
      <c r="C8">
        <v>14724224</v>
      </c>
      <c r="D8">
        <v>12745966</v>
      </c>
      <c r="E8">
        <v>1</v>
      </c>
      <c r="F8">
        <v>1</v>
      </c>
      <c r="G8">
        <v>1</v>
      </c>
      <c r="H8">
        <v>3</v>
      </c>
      <c r="I8" t="s">
        <v>442</v>
      </c>
      <c r="J8" t="s">
        <v>562</v>
      </c>
      <c r="K8" t="s">
        <v>443</v>
      </c>
      <c r="L8">
        <v>1339</v>
      </c>
      <c r="N8">
        <v>1007</v>
      </c>
      <c r="O8" t="s">
        <v>561</v>
      </c>
      <c r="P8" t="s">
        <v>561</v>
      </c>
      <c r="Q8">
        <v>1</v>
      </c>
      <c r="X8">
        <v>0</v>
      </c>
      <c r="Y8">
        <v>0</v>
      </c>
      <c r="Z8">
        <v>0</v>
      </c>
      <c r="AA8">
        <v>0</v>
      </c>
      <c r="AB8">
        <v>0</v>
      </c>
      <c r="AC8">
        <v>1</v>
      </c>
      <c r="AD8">
        <v>0</v>
      </c>
      <c r="AE8">
        <v>0</v>
      </c>
      <c r="AG8">
        <v>0</v>
      </c>
      <c r="AH8">
        <v>3</v>
      </c>
      <c r="AI8">
        <v>-1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ROW(Source!A24)</f>
        <v>24</v>
      </c>
      <c r="B9">
        <v>14724242</v>
      </c>
      <c r="C9">
        <v>14724224</v>
      </c>
      <c r="D9">
        <v>10762767</v>
      </c>
      <c r="E9">
        <v>1</v>
      </c>
      <c r="F9">
        <v>1</v>
      </c>
      <c r="G9">
        <v>1</v>
      </c>
      <c r="H9">
        <v>3</v>
      </c>
      <c r="I9" t="s">
        <v>375</v>
      </c>
      <c r="J9" t="s">
        <v>376</v>
      </c>
      <c r="K9" t="s">
        <v>377</v>
      </c>
      <c r="L9">
        <v>1339</v>
      </c>
      <c r="N9">
        <v>1007</v>
      </c>
      <c r="O9" t="s">
        <v>561</v>
      </c>
      <c r="P9" t="s">
        <v>561</v>
      </c>
      <c r="Q9">
        <v>1</v>
      </c>
      <c r="X9">
        <v>7</v>
      </c>
      <c r="Y9">
        <v>2.44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7</v>
      </c>
      <c r="AH9">
        <v>2</v>
      </c>
      <c r="AI9">
        <v>14724233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ROW(Source!A26)</f>
        <v>26</v>
      </c>
      <c r="B10">
        <v>14724254</v>
      </c>
      <c r="C10">
        <v>14724244</v>
      </c>
      <c r="D10">
        <v>12171414</v>
      </c>
      <c r="E10">
        <v>1</v>
      </c>
      <c r="F10">
        <v>1</v>
      </c>
      <c r="G10">
        <v>1</v>
      </c>
      <c r="H10">
        <v>1</v>
      </c>
      <c r="I10" t="s">
        <v>378</v>
      </c>
      <c r="K10" t="s">
        <v>379</v>
      </c>
      <c r="L10">
        <v>1369</v>
      </c>
      <c r="N10">
        <v>1013</v>
      </c>
      <c r="O10" t="s">
        <v>356</v>
      </c>
      <c r="P10" t="s">
        <v>356</v>
      </c>
      <c r="Q10">
        <v>1</v>
      </c>
      <c r="X10">
        <v>29.99</v>
      </c>
      <c r="Y10">
        <v>0</v>
      </c>
      <c r="Z10">
        <v>0</v>
      </c>
      <c r="AA10">
        <v>0</v>
      </c>
      <c r="AB10">
        <v>9.76</v>
      </c>
      <c r="AC10">
        <v>0</v>
      </c>
      <c r="AD10">
        <v>1</v>
      </c>
      <c r="AE10">
        <v>1</v>
      </c>
      <c r="AG10">
        <v>29.99</v>
      </c>
      <c r="AH10">
        <v>2</v>
      </c>
      <c r="AI10">
        <v>14724245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ROW(Source!A26)</f>
        <v>26</v>
      </c>
      <c r="B11">
        <v>14724255</v>
      </c>
      <c r="C11">
        <v>14724244</v>
      </c>
      <c r="D11">
        <v>121548</v>
      </c>
      <c r="E11">
        <v>1</v>
      </c>
      <c r="F11">
        <v>1</v>
      </c>
      <c r="G11">
        <v>1</v>
      </c>
      <c r="H11">
        <v>1</v>
      </c>
      <c r="I11" t="s">
        <v>566</v>
      </c>
      <c r="K11" t="s">
        <v>357</v>
      </c>
      <c r="L11">
        <v>1369</v>
      </c>
      <c r="N11">
        <v>1013</v>
      </c>
      <c r="O11" t="s">
        <v>356</v>
      </c>
      <c r="P11" t="s">
        <v>356</v>
      </c>
      <c r="Q11">
        <v>1</v>
      </c>
      <c r="X11">
        <v>29.9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2</v>
      </c>
      <c r="AG11">
        <v>29.9</v>
      </c>
      <c r="AH11">
        <v>2</v>
      </c>
      <c r="AI11">
        <v>14724246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ROW(Source!A26)</f>
        <v>26</v>
      </c>
      <c r="B12">
        <v>14724256</v>
      </c>
      <c r="C12">
        <v>14724244</v>
      </c>
      <c r="D12">
        <v>10776531</v>
      </c>
      <c r="E12">
        <v>1</v>
      </c>
      <c r="F12">
        <v>1</v>
      </c>
      <c r="G12">
        <v>1</v>
      </c>
      <c r="H12">
        <v>2</v>
      </c>
      <c r="I12" t="s">
        <v>380</v>
      </c>
      <c r="J12" t="s">
        <v>381</v>
      </c>
      <c r="K12" t="s">
        <v>382</v>
      </c>
      <c r="L12">
        <v>1480</v>
      </c>
      <c r="N12">
        <v>1013</v>
      </c>
      <c r="O12" t="s">
        <v>361</v>
      </c>
      <c r="P12" t="s">
        <v>362</v>
      </c>
      <c r="Q12">
        <v>1</v>
      </c>
      <c r="X12">
        <v>5.76</v>
      </c>
      <c r="Y12">
        <v>0</v>
      </c>
      <c r="Z12">
        <v>75</v>
      </c>
      <c r="AA12">
        <v>11.6</v>
      </c>
      <c r="AB12">
        <v>0</v>
      </c>
      <c r="AC12">
        <v>0</v>
      </c>
      <c r="AD12">
        <v>1</v>
      </c>
      <c r="AE12">
        <v>0</v>
      </c>
      <c r="AG12">
        <v>5.76</v>
      </c>
      <c r="AH12">
        <v>2</v>
      </c>
      <c r="AI12">
        <v>14724247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ROW(Source!A26)</f>
        <v>26</v>
      </c>
      <c r="B13">
        <v>14724257</v>
      </c>
      <c r="C13">
        <v>14724244</v>
      </c>
      <c r="D13">
        <v>10776532</v>
      </c>
      <c r="E13">
        <v>1</v>
      </c>
      <c r="F13">
        <v>1</v>
      </c>
      <c r="G13">
        <v>1</v>
      </c>
      <c r="H13">
        <v>2</v>
      </c>
      <c r="I13" t="s">
        <v>383</v>
      </c>
      <c r="J13" t="s">
        <v>384</v>
      </c>
      <c r="K13" t="s">
        <v>385</v>
      </c>
      <c r="L13">
        <v>1480</v>
      </c>
      <c r="N13">
        <v>1013</v>
      </c>
      <c r="O13" t="s">
        <v>361</v>
      </c>
      <c r="P13" t="s">
        <v>362</v>
      </c>
      <c r="Q13">
        <v>1</v>
      </c>
      <c r="X13">
        <v>18.68</v>
      </c>
      <c r="Y13">
        <v>0</v>
      </c>
      <c r="Z13">
        <v>121</v>
      </c>
      <c r="AA13">
        <v>14.4</v>
      </c>
      <c r="AB13">
        <v>0</v>
      </c>
      <c r="AC13">
        <v>0</v>
      </c>
      <c r="AD13">
        <v>1</v>
      </c>
      <c r="AE13">
        <v>0</v>
      </c>
      <c r="AG13">
        <v>18.68</v>
      </c>
      <c r="AH13">
        <v>2</v>
      </c>
      <c r="AI13">
        <v>14724248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ROW(Source!A26)</f>
        <v>26</v>
      </c>
      <c r="B14">
        <v>14724258</v>
      </c>
      <c r="C14">
        <v>14724244</v>
      </c>
      <c r="D14">
        <v>10772483</v>
      </c>
      <c r="E14">
        <v>1</v>
      </c>
      <c r="F14">
        <v>1</v>
      </c>
      <c r="G14">
        <v>1</v>
      </c>
      <c r="H14">
        <v>2</v>
      </c>
      <c r="I14" t="s">
        <v>372</v>
      </c>
      <c r="J14" t="s">
        <v>373</v>
      </c>
      <c r="K14" t="s">
        <v>374</v>
      </c>
      <c r="L14">
        <v>1480</v>
      </c>
      <c r="N14">
        <v>1013</v>
      </c>
      <c r="O14" t="s">
        <v>361</v>
      </c>
      <c r="P14" t="s">
        <v>362</v>
      </c>
      <c r="Q14">
        <v>1</v>
      </c>
      <c r="X14">
        <v>0.8</v>
      </c>
      <c r="Y14">
        <v>0</v>
      </c>
      <c r="Z14">
        <v>110</v>
      </c>
      <c r="AA14">
        <v>11.6</v>
      </c>
      <c r="AB14">
        <v>0</v>
      </c>
      <c r="AC14">
        <v>0</v>
      </c>
      <c r="AD14">
        <v>1</v>
      </c>
      <c r="AE14">
        <v>0</v>
      </c>
      <c r="AG14">
        <v>0.8</v>
      </c>
      <c r="AH14">
        <v>2</v>
      </c>
      <c r="AI14">
        <v>14724249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ROW(Source!A26)</f>
        <v>26</v>
      </c>
      <c r="B15">
        <v>14724259</v>
      </c>
      <c r="C15">
        <v>14724244</v>
      </c>
      <c r="D15">
        <v>10776578</v>
      </c>
      <c r="E15">
        <v>1</v>
      </c>
      <c r="F15">
        <v>1</v>
      </c>
      <c r="G15">
        <v>1</v>
      </c>
      <c r="H15">
        <v>2</v>
      </c>
      <c r="I15" t="s">
        <v>386</v>
      </c>
      <c r="J15" t="s">
        <v>387</v>
      </c>
      <c r="K15" t="s">
        <v>388</v>
      </c>
      <c r="L15">
        <v>1480</v>
      </c>
      <c r="N15">
        <v>1013</v>
      </c>
      <c r="O15" t="s">
        <v>361</v>
      </c>
      <c r="P15" t="s">
        <v>362</v>
      </c>
      <c r="Q15">
        <v>1</v>
      </c>
      <c r="X15">
        <v>4.66</v>
      </c>
      <c r="Y15">
        <v>0</v>
      </c>
      <c r="Z15">
        <v>195.2</v>
      </c>
      <c r="AA15">
        <v>14.4</v>
      </c>
      <c r="AB15">
        <v>0</v>
      </c>
      <c r="AC15">
        <v>0</v>
      </c>
      <c r="AD15">
        <v>1</v>
      </c>
      <c r="AE15">
        <v>0</v>
      </c>
      <c r="AG15">
        <v>4.66</v>
      </c>
      <c r="AH15">
        <v>2</v>
      </c>
      <c r="AI15">
        <v>14724250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ROW(Source!A26)</f>
        <v>26</v>
      </c>
      <c r="B16">
        <v>14724260</v>
      </c>
      <c r="C16">
        <v>14724244</v>
      </c>
      <c r="D16">
        <v>10776579</v>
      </c>
      <c r="E16">
        <v>1</v>
      </c>
      <c r="F16">
        <v>1</v>
      </c>
      <c r="G16">
        <v>1</v>
      </c>
      <c r="H16">
        <v>3</v>
      </c>
      <c r="I16" t="s">
        <v>389</v>
      </c>
      <c r="J16" t="s">
        <v>390</v>
      </c>
      <c r="K16" t="s">
        <v>391</v>
      </c>
      <c r="L16">
        <v>1348</v>
      </c>
      <c r="N16">
        <v>1009</v>
      </c>
      <c r="O16" t="s">
        <v>1</v>
      </c>
      <c r="P16" t="s">
        <v>1</v>
      </c>
      <c r="Q16">
        <v>1000</v>
      </c>
      <c r="X16">
        <v>0.005</v>
      </c>
      <c r="Y16">
        <v>2606.9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0.005</v>
      </c>
      <c r="AH16">
        <v>2</v>
      </c>
      <c r="AI16">
        <v>14724251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ROW(Source!A26)</f>
        <v>26</v>
      </c>
      <c r="B17">
        <v>14724261</v>
      </c>
      <c r="C17">
        <v>14724244</v>
      </c>
      <c r="D17">
        <v>10776582</v>
      </c>
      <c r="E17">
        <v>1</v>
      </c>
      <c r="F17">
        <v>1</v>
      </c>
      <c r="G17">
        <v>1</v>
      </c>
      <c r="H17">
        <v>3</v>
      </c>
      <c r="I17" t="s">
        <v>577</v>
      </c>
      <c r="J17" t="s">
        <v>2</v>
      </c>
      <c r="K17" t="s">
        <v>0</v>
      </c>
      <c r="L17">
        <v>1348</v>
      </c>
      <c r="N17">
        <v>1009</v>
      </c>
      <c r="O17" t="s">
        <v>1</v>
      </c>
      <c r="P17" t="s">
        <v>1</v>
      </c>
      <c r="Q17">
        <v>1000</v>
      </c>
      <c r="X17">
        <v>101</v>
      </c>
      <c r="Y17">
        <v>459.91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101</v>
      </c>
      <c r="AH17">
        <v>2</v>
      </c>
      <c r="AI17">
        <v>14724252</v>
      </c>
      <c r="AJ17">
        <v>18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ROW(Source!A29)</f>
        <v>29</v>
      </c>
      <c r="B18">
        <v>14724269</v>
      </c>
      <c r="C18">
        <v>14724264</v>
      </c>
      <c r="D18">
        <v>121548</v>
      </c>
      <c r="E18">
        <v>1</v>
      </c>
      <c r="F18">
        <v>1</v>
      </c>
      <c r="G18">
        <v>1</v>
      </c>
      <c r="H18">
        <v>1</v>
      </c>
      <c r="I18" t="s">
        <v>566</v>
      </c>
      <c r="K18" t="s">
        <v>357</v>
      </c>
      <c r="L18">
        <v>1369</v>
      </c>
      <c r="N18">
        <v>1013</v>
      </c>
      <c r="O18" t="s">
        <v>356</v>
      </c>
      <c r="P18" t="s">
        <v>356</v>
      </c>
      <c r="Q18">
        <v>1</v>
      </c>
      <c r="X18">
        <v>0.66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2</v>
      </c>
      <c r="AF18" t="s">
        <v>551</v>
      </c>
      <c r="AG18">
        <v>0.825</v>
      </c>
      <c r="AH18">
        <v>2</v>
      </c>
      <c r="AI18">
        <v>14724265</v>
      </c>
      <c r="AJ18">
        <v>19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ROW(Source!A29)</f>
        <v>29</v>
      </c>
      <c r="B19">
        <v>14724270</v>
      </c>
      <c r="C19">
        <v>14724264</v>
      </c>
      <c r="D19">
        <v>10776884</v>
      </c>
      <c r="E19">
        <v>1</v>
      </c>
      <c r="F19">
        <v>1</v>
      </c>
      <c r="G19">
        <v>1</v>
      </c>
      <c r="H19">
        <v>2</v>
      </c>
      <c r="I19" t="s">
        <v>392</v>
      </c>
      <c r="J19" t="s">
        <v>393</v>
      </c>
      <c r="K19" t="s">
        <v>394</v>
      </c>
      <c r="L19">
        <v>1480</v>
      </c>
      <c r="N19">
        <v>1013</v>
      </c>
      <c r="O19" t="s">
        <v>361</v>
      </c>
      <c r="P19" t="s">
        <v>362</v>
      </c>
      <c r="Q19">
        <v>1</v>
      </c>
      <c r="X19">
        <v>0.33</v>
      </c>
      <c r="Y19">
        <v>0</v>
      </c>
      <c r="Z19">
        <v>120</v>
      </c>
      <c r="AA19">
        <v>23.19</v>
      </c>
      <c r="AB19">
        <v>0</v>
      </c>
      <c r="AC19">
        <v>0</v>
      </c>
      <c r="AD19">
        <v>1</v>
      </c>
      <c r="AE19">
        <v>0</v>
      </c>
      <c r="AF19" t="s">
        <v>551</v>
      </c>
      <c r="AG19">
        <v>0.4125</v>
      </c>
      <c r="AH19">
        <v>2</v>
      </c>
      <c r="AI19">
        <v>14724266</v>
      </c>
      <c r="AJ19">
        <v>20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ROW(Source!A29)</f>
        <v>29</v>
      </c>
      <c r="B20">
        <v>14724271</v>
      </c>
      <c r="C20">
        <v>14724264</v>
      </c>
      <c r="D20">
        <v>10776886</v>
      </c>
      <c r="E20">
        <v>1</v>
      </c>
      <c r="F20">
        <v>1</v>
      </c>
      <c r="G20">
        <v>1</v>
      </c>
      <c r="H20">
        <v>3</v>
      </c>
      <c r="I20" t="s">
        <v>12</v>
      </c>
      <c r="J20" t="s">
        <v>14</v>
      </c>
      <c r="K20" t="s">
        <v>13</v>
      </c>
      <c r="L20">
        <v>1348</v>
      </c>
      <c r="N20">
        <v>1009</v>
      </c>
      <c r="O20" t="s">
        <v>1</v>
      </c>
      <c r="P20" t="s">
        <v>1</v>
      </c>
      <c r="Q20">
        <v>1000</v>
      </c>
      <c r="X20">
        <v>1.03</v>
      </c>
      <c r="Y20">
        <v>1487.6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1.03</v>
      </c>
      <c r="AH20">
        <v>2</v>
      </c>
      <c r="AI20">
        <v>14724267</v>
      </c>
      <c r="AJ20">
        <v>22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ROW(Source!A32)</f>
        <v>32</v>
      </c>
      <c r="B21">
        <v>14724288</v>
      </c>
      <c r="C21">
        <v>14724274</v>
      </c>
      <c r="D21">
        <v>12171444</v>
      </c>
      <c r="E21">
        <v>1</v>
      </c>
      <c r="F21">
        <v>1</v>
      </c>
      <c r="G21">
        <v>1</v>
      </c>
      <c r="H21">
        <v>1</v>
      </c>
      <c r="I21" t="s">
        <v>395</v>
      </c>
      <c r="K21" t="s">
        <v>396</v>
      </c>
      <c r="L21">
        <v>1369</v>
      </c>
      <c r="N21">
        <v>1013</v>
      </c>
      <c r="O21" t="s">
        <v>356</v>
      </c>
      <c r="P21" t="s">
        <v>356</v>
      </c>
      <c r="Q21">
        <v>1</v>
      </c>
      <c r="X21">
        <v>38.3</v>
      </c>
      <c r="Y21">
        <v>0</v>
      </c>
      <c r="Z21">
        <v>0</v>
      </c>
      <c r="AA21">
        <v>0</v>
      </c>
      <c r="AB21">
        <v>9.62</v>
      </c>
      <c r="AC21">
        <v>0</v>
      </c>
      <c r="AD21">
        <v>1</v>
      </c>
      <c r="AE21">
        <v>1</v>
      </c>
      <c r="AF21" t="s">
        <v>552</v>
      </c>
      <c r="AG21">
        <v>44.045</v>
      </c>
      <c r="AH21">
        <v>2</v>
      </c>
      <c r="AI21">
        <v>14724275</v>
      </c>
      <c r="AJ21">
        <v>23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ROW(Source!A32)</f>
        <v>32</v>
      </c>
      <c r="B22">
        <v>14724289</v>
      </c>
      <c r="C22">
        <v>14724274</v>
      </c>
      <c r="D22">
        <v>121548</v>
      </c>
      <c r="E22">
        <v>1</v>
      </c>
      <c r="F22">
        <v>1</v>
      </c>
      <c r="G22">
        <v>1</v>
      </c>
      <c r="H22">
        <v>1</v>
      </c>
      <c r="I22" t="s">
        <v>566</v>
      </c>
      <c r="K22" t="s">
        <v>357</v>
      </c>
      <c r="L22">
        <v>1369</v>
      </c>
      <c r="N22">
        <v>1013</v>
      </c>
      <c r="O22" t="s">
        <v>356</v>
      </c>
      <c r="P22" t="s">
        <v>356</v>
      </c>
      <c r="Q22">
        <v>1</v>
      </c>
      <c r="X22">
        <v>19.08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2</v>
      </c>
      <c r="AF22" t="s">
        <v>551</v>
      </c>
      <c r="AG22">
        <v>23.85</v>
      </c>
      <c r="AH22">
        <v>2</v>
      </c>
      <c r="AI22">
        <v>14724276</v>
      </c>
      <c r="AJ22">
        <v>24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ROW(Source!A32)</f>
        <v>32</v>
      </c>
      <c r="B23">
        <v>14724290</v>
      </c>
      <c r="C23">
        <v>14724274</v>
      </c>
      <c r="D23">
        <v>10762907</v>
      </c>
      <c r="E23">
        <v>1</v>
      </c>
      <c r="F23">
        <v>1</v>
      </c>
      <c r="G23">
        <v>1</v>
      </c>
      <c r="H23">
        <v>2</v>
      </c>
      <c r="I23" t="s">
        <v>397</v>
      </c>
      <c r="J23" t="s">
        <v>398</v>
      </c>
      <c r="K23" t="s">
        <v>399</v>
      </c>
      <c r="L23">
        <v>1480</v>
      </c>
      <c r="N23">
        <v>1013</v>
      </c>
      <c r="O23" t="s">
        <v>361</v>
      </c>
      <c r="P23" t="s">
        <v>362</v>
      </c>
      <c r="Q23">
        <v>1</v>
      </c>
      <c r="X23">
        <v>0.03</v>
      </c>
      <c r="Y23">
        <v>0</v>
      </c>
      <c r="Z23">
        <v>111.99</v>
      </c>
      <c r="AA23">
        <v>13.5</v>
      </c>
      <c r="AB23">
        <v>0</v>
      </c>
      <c r="AC23">
        <v>0</v>
      </c>
      <c r="AD23">
        <v>1</v>
      </c>
      <c r="AE23">
        <v>0</v>
      </c>
      <c r="AF23" t="s">
        <v>551</v>
      </c>
      <c r="AG23">
        <v>0.0375</v>
      </c>
      <c r="AH23">
        <v>2</v>
      </c>
      <c r="AI23">
        <v>14724277</v>
      </c>
      <c r="AJ23">
        <v>25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ROW(Source!A32)</f>
        <v>32</v>
      </c>
      <c r="B24">
        <v>14724291</v>
      </c>
      <c r="C24">
        <v>14724274</v>
      </c>
      <c r="D24">
        <v>11003175</v>
      </c>
      <c r="E24">
        <v>1</v>
      </c>
      <c r="F24">
        <v>1</v>
      </c>
      <c r="G24">
        <v>1</v>
      </c>
      <c r="H24">
        <v>2</v>
      </c>
      <c r="I24" t="s">
        <v>400</v>
      </c>
      <c r="J24" t="s">
        <v>401</v>
      </c>
      <c r="K24" t="s">
        <v>402</v>
      </c>
      <c r="L24">
        <v>1480</v>
      </c>
      <c r="N24">
        <v>1013</v>
      </c>
      <c r="O24" t="s">
        <v>361</v>
      </c>
      <c r="P24" t="s">
        <v>362</v>
      </c>
      <c r="Q24">
        <v>1</v>
      </c>
      <c r="X24">
        <v>1.4</v>
      </c>
      <c r="Y24">
        <v>0</v>
      </c>
      <c r="Z24">
        <v>17.2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551</v>
      </c>
      <c r="AG24">
        <v>1.75</v>
      </c>
      <c r="AH24">
        <v>2</v>
      </c>
      <c r="AI24">
        <v>14724278</v>
      </c>
      <c r="AJ24">
        <v>26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ROW(Source!A32)</f>
        <v>32</v>
      </c>
      <c r="B25">
        <v>14724292</v>
      </c>
      <c r="C25">
        <v>14724274</v>
      </c>
      <c r="D25">
        <v>10776531</v>
      </c>
      <c r="E25">
        <v>1</v>
      </c>
      <c r="F25">
        <v>1</v>
      </c>
      <c r="G25">
        <v>1</v>
      </c>
      <c r="H25">
        <v>2</v>
      </c>
      <c r="I25" t="s">
        <v>380</v>
      </c>
      <c r="J25" t="s">
        <v>381</v>
      </c>
      <c r="K25" t="s">
        <v>382</v>
      </c>
      <c r="L25">
        <v>1480</v>
      </c>
      <c r="N25">
        <v>1013</v>
      </c>
      <c r="O25" t="s">
        <v>361</v>
      </c>
      <c r="P25" t="s">
        <v>362</v>
      </c>
      <c r="Q25">
        <v>1</v>
      </c>
      <c r="X25">
        <v>3.96</v>
      </c>
      <c r="Y25">
        <v>0</v>
      </c>
      <c r="Z25">
        <v>75</v>
      </c>
      <c r="AA25">
        <v>11.6</v>
      </c>
      <c r="AB25">
        <v>0</v>
      </c>
      <c r="AC25">
        <v>0</v>
      </c>
      <c r="AD25">
        <v>1</v>
      </c>
      <c r="AE25">
        <v>0</v>
      </c>
      <c r="AF25" t="s">
        <v>551</v>
      </c>
      <c r="AG25">
        <v>4.95</v>
      </c>
      <c r="AH25">
        <v>2</v>
      </c>
      <c r="AI25">
        <v>14724279</v>
      </c>
      <c r="AJ25">
        <v>27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ROW(Source!A32)</f>
        <v>32</v>
      </c>
      <c r="B26">
        <v>14724293</v>
      </c>
      <c r="C26">
        <v>14724274</v>
      </c>
      <c r="D26">
        <v>10776532</v>
      </c>
      <c r="E26">
        <v>1</v>
      </c>
      <c r="F26">
        <v>1</v>
      </c>
      <c r="G26">
        <v>1</v>
      </c>
      <c r="H26">
        <v>2</v>
      </c>
      <c r="I26" t="s">
        <v>383</v>
      </c>
      <c r="J26" t="s">
        <v>384</v>
      </c>
      <c r="K26" t="s">
        <v>385</v>
      </c>
      <c r="L26">
        <v>1480</v>
      </c>
      <c r="N26">
        <v>1013</v>
      </c>
      <c r="O26" t="s">
        <v>361</v>
      </c>
      <c r="P26" t="s">
        <v>362</v>
      </c>
      <c r="Q26">
        <v>1</v>
      </c>
      <c r="X26">
        <v>11.51</v>
      </c>
      <c r="Y26">
        <v>0</v>
      </c>
      <c r="Z26">
        <v>121</v>
      </c>
      <c r="AA26">
        <v>14.4</v>
      </c>
      <c r="AB26">
        <v>0</v>
      </c>
      <c r="AC26">
        <v>0</v>
      </c>
      <c r="AD26">
        <v>1</v>
      </c>
      <c r="AE26">
        <v>0</v>
      </c>
      <c r="AF26" t="s">
        <v>551</v>
      </c>
      <c r="AG26">
        <v>14.3875</v>
      </c>
      <c r="AH26">
        <v>2</v>
      </c>
      <c r="AI26">
        <v>14724280</v>
      </c>
      <c r="AJ26">
        <v>28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ROW(Source!A32)</f>
        <v>32</v>
      </c>
      <c r="B27">
        <v>14724294</v>
      </c>
      <c r="C27">
        <v>14724274</v>
      </c>
      <c r="D27">
        <v>10772483</v>
      </c>
      <c r="E27">
        <v>1</v>
      </c>
      <c r="F27">
        <v>1</v>
      </c>
      <c r="G27">
        <v>1</v>
      </c>
      <c r="H27">
        <v>2</v>
      </c>
      <c r="I27" t="s">
        <v>372</v>
      </c>
      <c r="J27" t="s">
        <v>373</v>
      </c>
      <c r="K27" t="s">
        <v>374</v>
      </c>
      <c r="L27">
        <v>1480</v>
      </c>
      <c r="N27">
        <v>1013</v>
      </c>
      <c r="O27" t="s">
        <v>361</v>
      </c>
      <c r="P27" t="s">
        <v>362</v>
      </c>
      <c r="Q27">
        <v>1</v>
      </c>
      <c r="X27">
        <v>0.39</v>
      </c>
      <c r="Y27">
        <v>0</v>
      </c>
      <c r="Z27">
        <v>110</v>
      </c>
      <c r="AA27">
        <v>11.6</v>
      </c>
      <c r="AB27">
        <v>0</v>
      </c>
      <c r="AC27">
        <v>0</v>
      </c>
      <c r="AD27">
        <v>1</v>
      </c>
      <c r="AE27">
        <v>0</v>
      </c>
      <c r="AF27" t="s">
        <v>551</v>
      </c>
      <c r="AG27">
        <v>0.4875</v>
      </c>
      <c r="AH27">
        <v>2</v>
      </c>
      <c r="AI27">
        <v>14724281</v>
      </c>
      <c r="AJ27">
        <v>29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ROW(Source!A32)</f>
        <v>32</v>
      </c>
      <c r="B28">
        <v>14724295</v>
      </c>
      <c r="C28">
        <v>14724274</v>
      </c>
      <c r="D28">
        <v>10776578</v>
      </c>
      <c r="E28">
        <v>1</v>
      </c>
      <c r="F28">
        <v>1</v>
      </c>
      <c r="G28">
        <v>1</v>
      </c>
      <c r="H28">
        <v>2</v>
      </c>
      <c r="I28" t="s">
        <v>386</v>
      </c>
      <c r="J28" t="s">
        <v>387</v>
      </c>
      <c r="K28" t="s">
        <v>388</v>
      </c>
      <c r="L28">
        <v>1480</v>
      </c>
      <c r="N28">
        <v>1013</v>
      </c>
      <c r="O28" t="s">
        <v>361</v>
      </c>
      <c r="P28" t="s">
        <v>362</v>
      </c>
      <c r="Q28">
        <v>1</v>
      </c>
      <c r="X28">
        <v>3.19</v>
      </c>
      <c r="Y28">
        <v>0</v>
      </c>
      <c r="Z28">
        <v>195.2</v>
      </c>
      <c r="AA28">
        <v>14.4</v>
      </c>
      <c r="AB28">
        <v>0</v>
      </c>
      <c r="AC28">
        <v>0</v>
      </c>
      <c r="AD28">
        <v>1</v>
      </c>
      <c r="AE28">
        <v>0</v>
      </c>
      <c r="AF28" t="s">
        <v>551</v>
      </c>
      <c r="AG28">
        <v>3.9875</v>
      </c>
      <c r="AH28">
        <v>2</v>
      </c>
      <c r="AI28">
        <v>14724282</v>
      </c>
      <c r="AJ28">
        <v>30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ROW(Source!A32)</f>
        <v>32</v>
      </c>
      <c r="B29">
        <v>14724296</v>
      </c>
      <c r="C29">
        <v>14724274</v>
      </c>
      <c r="D29">
        <v>10762668</v>
      </c>
      <c r="E29">
        <v>1</v>
      </c>
      <c r="F29">
        <v>1</v>
      </c>
      <c r="G29">
        <v>1</v>
      </c>
      <c r="H29">
        <v>2</v>
      </c>
      <c r="I29" t="s">
        <v>403</v>
      </c>
      <c r="J29" t="s">
        <v>404</v>
      </c>
      <c r="K29" t="s">
        <v>405</v>
      </c>
      <c r="L29">
        <v>1480</v>
      </c>
      <c r="N29">
        <v>1013</v>
      </c>
      <c r="O29" t="s">
        <v>361</v>
      </c>
      <c r="P29" t="s">
        <v>362</v>
      </c>
      <c r="Q29">
        <v>1</v>
      </c>
      <c r="X29">
        <v>0.04</v>
      </c>
      <c r="Y29">
        <v>0</v>
      </c>
      <c r="Z29">
        <v>87.17</v>
      </c>
      <c r="AA29">
        <v>11.6</v>
      </c>
      <c r="AB29">
        <v>0</v>
      </c>
      <c r="AC29">
        <v>0</v>
      </c>
      <c r="AD29">
        <v>1</v>
      </c>
      <c r="AE29">
        <v>0</v>
      </c>
      <c r="AF29" t="s">
        <v>551</v>
      </c>
      <c r="AG29">
        <v>0.05</v>
      </c>
      <c r="AH29">
        <v>2</v>
      </c>
      <c r="AI29">
        <v>14724283</v>
      </c>
      <c r="AJ29">
        <v>31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ROW(Source!A32)</f>
        <v>32</v>
      </c>
      <c r="B30">
        <v>14724297</v>
      </c>
      <c r="C30">
        <v>14724274</v>
      </c>
      <c r="D30">
        <v>10763223</v>
      </c>
      <c r="E30">
        <v>1</v>
      </c>
      <c r="F30">
        <v>1</v>
      </c>
      <c r="G30">
        <v>1</v>
      </c>
      <c r="H30">
        <v>3</v>
      </c>
      <c r="I30" t="s">
        <v>406</v>
      </c>
      <c r="J30" t="s">
        <v>407</v>
      </c>
      <c r="K30" t="s">
        <v>408</v>
      </c>
      <c r="L30">
        <v>1348</v>
      </c>
      <c r="N30">
        <v>1009</v>
      </c>
      <c r="O30" t="s">
        <v>1</v>
      </c>
      <c r="P30" t="s">
        <v>1</v>
      </c>
      <c r="Q30">
        <v>1000</v>
      </c>
      <c r="X30">
        <v>0.0062</v>
      </c>
      <c r="Y30">
        <v>5989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0.0062</v>
      </c>
      <c r="AH30">
        <v>2</v>
      </c>
      <c r="AI30">
        <v>14724284</v>
      </c>
      <c r="AJ30">
        <v>32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ROW(Source!A32)</f>
        <v>32</v>
      </c>
      <c r="B31">
        <v>14724298</v>
      </c>
      <c r="C31">
        <v>14724274</v>
      </c>
      <c r="D31">
        <v>11306562</v>
      </c>
      <c r="E31">
        <v>1</v>
      </c>
      <c r="F31">
        <v>1</v>
      </c>
      <c r="G31">
        <v>1</v>
      </c>
      <c r="H31">
        <v>3</v>
      </c>
      <c r="I31" t="s">
        <v>409</v>
      </c>
      <c r="J31" t="s">
        <v>410</v>
      </c>
      <c r="K31" t="s">
        <v>411</v>
      </c>
      <c r="L31">
        <v>1348</v>
      </c>
      <c r="N31">
        <v>1009</v>
      </c>
      <c r="O31" t="s">
        <v>1</v>
      </c>
      <c r="P31" t="s">
        <v>1</v>
      </c>
      <c r="Q31">
        <v>1000</v>
      </c>
      <c r="X31">
        <v>0.0108</v>
      </c>
      <c r="Y31">
        <v>1690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0.0108</v>
      </c>
      <c r="AH31">
        <v>2</v>
      </c>
      <c r="AI31">
        <v>14724285</v>
      </c>
      <c r="AJ31">
        <v>33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ROW(Source!A32)</f>
        <v>32</v>
      </c>
      <c r="B32">
        <v>14724299</v>
      </c>
      <c r="C32">
        <v>14724274</v>
      </c>
      <c r="D32">
        <v>10763267</v>
      </c>
      <c r="E32">
        <v>1</v>
      </c>
      <c r="F32">
        <v>1</v>
      </c>
      <c r="G32">
        <v>1</v>
      </c>
      <c r="H32">
        <v>3</v>
      </c>
      <c r="I32" t="s">
        <v>412</v>
      </c>
      <c r="J32" t="s">
        <v>413</v>
      </c>
      <c r="K32" t="s">
        <v>414</v>
      </c>
      <c r="L32">
        <v>1339</v>
      </c>
      <c r="N32">
        <v>1007</v>
      </c>
      <c r="O32" t="s">
        <v>561</v>
      </c>
      <c r="P32" t="s">
        <v>561</v>
      </c>
      <c r="Q32">
        <v>1</v>
      </c>
      <c r="X32">
        <v>0.15</v>
      </c>
      <c r="Y32">
        <v>1287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0.15</v>
      </c>
      <c r="AH32">
        <v>2</v>
      </c>
      <c r="AI32">
        <v>14724286</v>
      </c>
      <c r="AJ32">
        <v>34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ROW(Source!A32)</f>
        <v>32</v>
      </c>
      <c r="B33">
        <v>14724300</v>
      </c>
      <c r="C33">
        <v>14724274</v>
      </c>
      <c r="D33">
        <v>11336462</v>
      </c>
      <c r="E33">
        <v>1</v>
      </c>
      <c r="F33">
        <v>1</v>
      </c>
      <c r="G33">
        <v>1</v>
      </c>
      <c r="H33">
        <v>3</v>
      </c>
      <c r="I33" t="s">
        <v>571</v>
      </c>
      <c r="J33" t="s">
        <v>5</v>
      </c>
      <c r="K33" t="s">
        <v>415</v>
      </c>
      <c r="L33">
        <v>1348</v>
      </c>
      <c r="N33">
        <v>1009</v>
      </c>
      <c r="O33" t="s">
        <v>1</v>
      </c>
      <c r="P33" t="s">
        <v>1</v>
      </c>
      <c r="Q33">
        <v>1000</v>
      </c>
      <c r="X33">
        <v>93.3</v>
      </c>
      <c r="Y33">
        <v>571.6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93.3</v>
      </c>
      <c r="AH33">
        <v>2</v>
      </c>
      <c r="AI33">
        <v>14724287</v>
      </c>
      <c r="AJ33">
        <v>35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ROW(Source!A33)</f>
        <v>33</v>
      </c>
      <c r="B34">
        <v>14724306</v>
      </c>
      <c r="C34">
        <v>14724301</v>
      </c>
      <c r="D34">
        <v>12171444</v>
      </c>
      <c r="E34">
        <v>1</v>
      </c>
      <c r="F34">
        <v>1</v>
      </c>
      <c r="G34">
        <v>1</v>
      </c>
      <c r="H34">
        <v>1</v>
      </c>
      <c r="I34" t="s">
        <v>395</v>
      </c>
      <c r="K34" t="s">
        <v>396</v>
      </c>
      <c r="L34">
        <v>1369</v>
      </c>
      <c r="N34">
        <v>1013</v>
      </c>
      <c r="O34" t="s">
        <v>356</v>
      </c>
      <c r="P34" t="s">
        <v>356</v>
      </c>
      <c r="Q34">
        <v>1</v>
      </c>
      <c r="X34">
        <v>0.09</v>
      </c>
      <c r="Y34">
        <v>0</v>
      </c>
      <c r="Z34">
        <v>0</v>
      </c>
      <c r="AA34">
        <v>0</v>
      </c>
      <c r="AB34">
        <v>9.62</v>
      </c>
      <c r="AC34">
        <v>0</v>
      </c>
      <c r="AD34">
        <v>1</v>
      </c>
      <c r="AE34">
        <v>1</v>
      </c>
      <c r="AF34" t="s">
        <v>552</v>
      </c>
      <c r="AG34">
        <v>0.1035</v>
      </c>
      <c r="AH34">
        <v>2</v>
      </c>
      <c r="AI34">
        <v>14724302</v>
      </c>
      <c r="AJ34">
        <v>36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ROW(Source!A33)</f>
        <v>33</v>
      </c>
      <c r="B35">
        <v>14724307</v>
      </c>
      <c r="C35">
        <v>14724301</v>
      </c>
      <c r="D35">
        <v>11003175</v>
      </c>
      <c r="E35">
        <v>1</v>
      </c>
      <c r="F35">
        <v>1</v>
      </c>
      <c r="G35">
        <v>1</v>
      </c>
      <c r="H35">
        <v>2</v>
      </c>
      <c r="I35" t="s">
        <v>400</v>
      </c>
      <c r="J35" t="s">
        <v>401</v>
      </c>
      <c r="K35" t="s">
        <v>402</v>
      </c>
      <c r="L35">
        <v>1480</v>
      </c>
      <c r="N35">
        <v>1013</v>
      </c>
      <c r="O35" t="s">
        <v>361</v>
      </c>
      <c r="P35" t="s">
        <v>362</v>
      </c>
      <c r="Q35">
        <v>1</v>
      </c>
      <c r="X35">
        <v>0.17</v>
      </c>
      <c r="Y35">
        <v>0</v>
      </c>
      <c r="Z35">
        <v>17.2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551</v>
      </c>
      <c r="AG35">
        <v>0.2125</v>
      </c>
      <c r="AH35">
        <v>2</v>
      </c>
      <c r="AI35">
        <v>14724303</v>
      </c>
      <c r="AJ35">
        <v>37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ROW(Source!A33)</f>
        <v>33</v>
      </c>
      <c r="B36">
        <v>14724308</v>
      </c>
      <c r="C36">
        <v>14724301</v>
      </c>
      <c r="D36">
        <v>11306562</v>
      </c>
      <c r="E36">
        <v>1</v>
      </c>
      <c r="F36">
        <v>1</v>
      </c>
      <c r="G36">
        <v>1</v>
      </c>
      <c r="H36">
        <v>3</v>
      </c>
      <c r="I36" t="s">
        <v>409</v>
      </c>
      <c r="J36" t="s">
        <v>410</v>
      </c>
      <c r="K36" t="s">
        <v>411</v>
      </c>
      <c r="L36">
        <v>1348</v>
      </c>
      <c r="N36">
        <v>1009</v>
      </c>
      <c r="O36" t="s">
        <v>1</v>
      </c>
      <c r="P36" t="s">
        <v>1</v>
      </c>
      <c r="Q36">
        <v>1000</v>
      </c>
      <c r="X36">
        <v>0.0014</v>
      </c>
      <c r="Y36">
        <v>1690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0.0014</v>
      </c>
      <c r="AH36">
        <v>2</v>
      </c>
      <c r="AI36">
        <v>14724304</v>
      </c>
      <c r="AJ36">
        <v>38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ROW(Source!A33)</f>
        <v>33</v>
      </c>
      <c r="B37">
        <v>14724309</v>
      </c>
      <c r="C37">
        <v>14724301</v>
      </c>
      <c r="D37">
        <v>11336462</v>
      </c>
      <c r="E37">
        <v>1</v>
      </c>
      <c r="F37">
        <v>1</v>
      </c>
      <c r="G37">
        <v>1</v>
      </c>
      <c r="H37">
        <v>3</v>
      </c>
      <c r="I37" t="s">
        <v>571</v>
      </c>
      <c r="J37" t="s">
        <v>5</v>
      </c>
      <c r="K37" t="s">
        <v>415</v>
      </c>
      <c r="L37">
        <v>1348</v>
      </c>
      <c r="N37">
        <v>1009</v>
      </c>
      <c r="O37" t="s">
        <v>1</v>
      </c>
      <c r="P37" t="s">
        <v>1</v>
      </c>
      <c r="Q37">
        <v>1000</v>
      </c>
      <c r="X37">
        <v>11.7</v>
      </c>
      <c r="Y37">
        <v>571.6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11.7</v>
      </c>
      <c r="AH37">
        <v>2</v>
      </c>
      <c r="AI37">
        <v>14724305</v>
      </c>
      <c r="AJ37">
        <v>39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ROW(Source!A34)</f>
        <v>34</v>
      </c>
      <c r="B38">
        <v>14724319</v>
      </c>
      <c r="C38">
        <v>14724310</v>
      </c>
      <c r="D38">
        <v>12171444</v>
      </c>
      <c r="E38">
        <v>1</v>
      </c>
      <c r="F38">
        <v>1</v>
      </c>
      <c r="G38">
        <v>1</v>
      </c>
      <c r="H38">
        <v>1</v>
      </c>
      <c r="I38" t="s">
        <v>395</v>
      </c>
      <c r="K38" t="s">
        <v>396</v>
      </c>
      <c r="L38">
        <v>1369</v>
      </c>
      <c r="N38">
        <v>1013</v>
      </c>
      <c r="O38" t="s">
        <v>356</v>
      </c>
      <c r="P38" t="s">
        <v>356</v>
      </c>
      <c r="Q38">
        <v>1</v>
      </c>
      <c r="X38">
        <v>85.72</v>
      </c>
      <c r="Y38">
        <v>0</v>
      </c>
      <c r="Z38">
        <v>0</v>
      </c>
      <c r="AA38">
        <v>0</v>
      </c>
      <c r="AB38">
        <v>9.62</v>
      </c>
      <c r="AC38">
        <v>0</v>
      </c>
      <c r="AD38">
        <v>1</v>
      </c>
      <c r="AE38">
        <v>1</v>
      </c>
      <c r="AG38">
        <v>85.72</v>
      </c>
      <c r="AH38">
        <v>2</v>
      </c>
      <c r="AI38">
        <v>14724311</v>
      </c>
      <c r="AJ38">
        <v>40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ROW(Source!A34)</f>
        <v>34</v>
      </c>
      <c r="B39">
        <v>14724320</v>
      </c>
      <c r="C39">
        <v>14724310</v>
      </c>
      <c r="D39">
        <v>121548</v>
      </c>
      <c r="E39">
        <v>1</v>
      </c>
      <c r="F39">
        <v>1</v>
      </c>
      <c r="G39">
        <v>1</v>
      </c>
      <c r="H39">
        <v>1</v>
      </c>
      <c r="I39" t="s">
        <v>566</v>
      </c>
      <c r="K39" t="s">
        <v>357</v>
      </c>
      <c r="L39">
        <v>1369</v>
      </c>
      <c r="N39">
        <v>1013</v>
      </c>
      <c r="O39" t="s">
        <v>356</v>
      </c>
      <c r="P39" t="s">
        <v>356</v>
      </c>
      <c r="Q39">
        <v>1</v>
      </c>
      <c r="X39">
        <v>31.22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2</v>
      </c>
      <c r="AG39">
        <v>31.22</v>
      </c>
      <c r="AH39">
        <v>2</v>
      </c>
      <c r="AI39">
        <v>14724312</v>
      </c>
      <c r="AJ39">
        <v>41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ROW(Source!A34)</f>
        <v>34</v>
      </c>
      <c r="B40">
        <v>14724321</v>
      </c>
      <c r="C40">
        <v>14724310</v>
      </c>
      <c r="D40">
        <v>10776531</v>
      </c>
      <c r="E40">
        <v>1</v>
      </c>
      <c r="F40">
        <v>1</v>
      </c>
      <c r="G40">
        <v>1</v>
      </c>
      <c r="H40">
        <v>2</v>
      </c>
      <c r="I40" t="s">
        <v>380</v>
      </c>
      <c r="J40" t="s">
        <v>381</v>
      </c>
      <c r="K40" t="s">
        <v>382</v>
      </c>
      <c r="L40">
        <v>1480</v>
      </c>
      <c r="N40">
        <v>1013</v>
      </c>
      <c r="O40" t="s">
        <v>361</v>
      </c>
      <c r="P40" t="s">
        <v>362</v>
      </c>
      <c r="Q40">
        <v>1</v>
      </c>
      <c r="X40">
        <v>11.74</v>
      </c>
      <c r="Y40">
        <v>0</v>
      </c>
      <c r="Z40">
        <v>75</v>
      </c>
      <c r="AA40">
        <v>11.6</v>
      </c>
      <c r="AB40">
        <v>0</v>
      </c>
      <c r="AC40">
        <v>0</v>
      </c>
      <c r="AD40">
        <v>1</v>
      </c>
      <c r="AE40">
        <v>0</v>
      </c>
      <c r="AG40">
        <v>11.74</v>
      </c>
      <c r="AH40">
        <v>2</v>
      </c>
      <c r="AI40">
        <v>14724313</v>
      </c>
      <c r="AJ40">
        <v>42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ROW(Source!A34)</f>
        <v>34</v>
      </c>
      <c r="B41">
        <v>14724322</v>
      </c>
      <c r="C41">
        <v>14724310</v>
      </c>
      <c r="D41">
        <v>10776532</v>
      </c>
      <c r="E41">
        <v>1</v>
      </c>
      <c r="F41">
        <v>1</v>
      </c>
      <c r="G41">
        <v>1</v>
      </c>
      <c r="H41">
        <v>2</v>
      </c>
      <c r="I41" t="s">
        <v>383</v>
      </c>
      <c r="J41" t="s">
        <v>384</v>
      </c>
      <c r="K41" t="s">
        <v>385</v>
      </c>
      <c r="L41">
        <v>1480</v>
      </c>
      <c r="N41">
        <v>1013</v>
      </c>
      <c r="O41" t="s">
        <v>361</v>
      </c>
      <c r="P41" t="s">
        <v>362</v>
      </c>
      <c r="Q41">
        <v>1</v>
      </c>
      <c r="X41">
        <v>18.68</v>
      </c>
      <c r="Y41">
        <v>0</v>
      </c>
      <c r="Z41">
        <v>121</v>
      </c>
      <c r="AA41">
        <v>14.4</v>
      </c>
      <c r="AB41">
        <v>0</v>
      </c>
      <c r="AC41">
        <v>0</v>
      </c>
      <c r="AD41">
        <v>1</v>
      </c>
      <c r="AE41">
        <v>0</v>
      </c>
      <c r="AG41">
        <v>18.68</v>
      </c>
      <c r="AH41">
        <v>2</v>
      </c>
      <c r="AI41">
        <v>14724314</v>
      </c>
      <c r="AJ41">
        <v>43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ROW(Source!A34)</f>
        <v>34</v>
      </c>
      <c r="B42">
        <v>14724323</v>
      </c>
      <c r="C42">
        <v>14724310</v>
      </c>
      <c r="D42">
        <v>10772483</v>
      </c>
      <c r="E42">
        <v>1</v>
      </c>
      <c r="F42">
        <v>1</v>
      </c>
      <c r="G42">
        <v>1</v>
      </c>
      <c r="H42">
        <v>2</v>
      </c>
      <c r="I42" t="s">
        <v>372</v>
      </c>
      <c r="J42" t="s">
        <v>373</v>
      </c>
      <c r="K42" t="s">
        <v>374</v>
      </c>
      <c r="L42">
        <v>1480</v>
      </c>
      <c r="N42">
        <v>1013</v>
      </c>
      <c r="O42" t="s">
        <v>361</v>
      </c>
      <c r="P42" t="s">
        <v>362</v>
      </c>
      <c r="Q42">
        <v>1</v>
      </c>
      <c r="X42">
        <v>0.8</v>
      </c>
      <c r="Y42">
        <v>0</v>
      </c>
      <c r="Z42">
        <v>110</v>
      </c>
      <c r="AA42">
        <v>11.6</v>
      </c>
      <c r="AB42">
        <v>0</v>
      </c>
      <c r="AC42">
        <v>0</v>
      </c>
      <c r="AD42">
        <v>1</v>
      </c>
      <c r="AE42">
        <v>0</v>
      </c>
      <c r="AG42">
        <v>0.8</v>
      </c>
      <c r="AH42">
        <v>2</v>
      </c>
      <c r="AI42">
        <v>14724315</v>
      </c>
      <c r="AJ42">
        <v>44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ROW(Source!A34)</f>
        <v>34</v>
      </c>
      <c r="B43">
        <v>14724324</v>
      </c>
      <c r="C43">
        <v>14724310</v>
      </c>
      <c r="D43">
        <v>10776579</v>
      </c>
      <c r="E43">
        <v>1</v>
      </c>
      <c r="F43">
        <v>1</v>
      </c>
      <c r="G43">
        <v>1</v>
      </c>
      <c r="H43">
        <v>3</v>
      </c>
      <c r="I43" t="s">
        <v>389</v>
      </c>
      <c r="J43" t="s">
        <v>390</v>
      </c>
      <c r="K43" t="s">
        <v>391</v>
      </c>
      <c r="L43">
        <v>1348</v>
      </c>
      <c r="N43">
        <v>1009</v>
      </c>
      <c r="O43" t="s">
        <v>1</v>
      </c>
      <c r="P43" t="s">
        <v>1</v>
      </c>
      <c r="Q43">
        <v>1000</v>
      </c>
      <c r="X43">
        <v>0.005</v>
      </c>
      <c r="Y43">
        <v>2606.9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0.005</v>
      </c>
      <c r="AH43">
        <v>2</v>
      </c>
      <c r="AI43">
        <v>14724316</v>
      </c>
      <c r="AJ43">
        <v>45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ROW(Source!A34)</f>
        <v>34</v>
      </c>
      <c r="B44">
        <v>14724325</v>
      </c>
      <c r="C44">
        <v>14724310</v>
      </c>
      <c r="D44">
        <v>10776582</v>
      </c>
      <c r="E44">
        <v>1</v>
      </c>
      <c r="F44">
        <v>1</v>
      </c>
      <c r="G44">
        <v>1</v>
      </c>
      <c r="H44">
        <v>3</v>
      </c>
      <c r="I44" t="s">
        <v>577</v>
      </c>
      <c r="J44" t="s">
        <v>2</v>
      </c>
      <c r="K44" t="s">
        <v>0</v>
      </c>
      <c r="L44">
        <v>1348</v>
      </c>
      <c r="N44">
        <v>1009</v>
      </c>
      <c r="O44" t="s">
        <v>1</v>
      </c>
      <c r="P44" t="s">
        <v>1</v>
      </c>
      <c r="Q44">
        <v>1000</v>
      </c>
      <c r="X44">
        <v>101</v>
      </c>
      <c r="Y44">
        <v>459.91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101</v>
      </c>
      <c r="AH44">
        <v>2</v>
      </c>
      <c r="AI44">
        <v>14724317</v>
      </c>
      <c r="AJ44">
        <v>47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ROW(Source!A37)</f>
        <v>37</v>
      </c>
      <c r="B45">
        <v>14724339</v>
      </c>
      <c r="C45">
        <v>14724328</v>
      </c>
      <c r="D45">
        <v>12171686</v>
      </c>
      <c r="E45">
        <v>1</v>
      </c>
      <c r="F45">
        <v>1</v>
      </c>
      <c r="G45">
        <v>1</v>
      </c>
      <c r="H45">
        <v>1</v>
      </c>
      <c r="I45" t="s">
        <v>416</v>
      </c>
      <c r="K45" t="s">
        <v>417</v>
      </c>
      <c r="L45">
        <v>1369</v>
      </c>
      <c r="N45">
        <v>1013</v>
      </c>
      <c r="O45" t="s">
        <v>356</v>
      </c>
      <c r="P45" t="s">
        <v>356</v>
      </c>
      <c r="Q45">
        <v>1</v>
      </c>
      <c r="X45">
        <v>15.12</v>
      </c>
      <c r="Y45">
        <v>0</v>
      </c>
      <c r="Z45">
        <v>0</v>
      </c>
      <c r="AA45">
        <v>0</v>
      </c>
      <c r="AB45">
        <v>9.29</v>
      </c>
      <c r="AC45">
        <v>0</v>
      </c>
      <c r="AD45">
        <v>1</v>
      </c>
      <c r="AE45">
        <v>1</v>
      </c>
      <c r="AF45" t="s">
        <v>552</v>
      </c>
      <c r="AG45">
        <v>17.387999999999998</v>
      </c>
      <c r="AH45">
        <v>2</v>
      </c>
      <c r="AI45">
        <v>14724329</v>
      </c>
      <c r="AJ45">
        <v>48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ROW(Source!A37)</f>
        <v>37</v>
      </c>
      <c r="B46">
        <v>14724340</v>
      </c>
      <c r="C46">
        <v>14724328</v>
      </c>
      <c r="D46">
        <v>121548</v>
      </c>
      <c r="E46">
        <v>1</v>
      </c>
      <c r="F46">
        <v>1</v>
      </c>
      <c r="G46">
        <v>1</v>
      </c>
      <c r="H46">
        <v>1</v>
      </c>
      <c r="I46" t="s">
        <v>566</v>
      </c>
      <c r="K46" t="s">
        <v>357</v>
      </c>
      <c r="L46">
        <v>1369</v>
      </c>
      <c r="N46">
        <v>1013</v>
      </c>
      <c r="O46" t="s">
        <v>356</v>
      </c>
      <c r="P46" t="s">
        <v>356</v>
      </c>
      <c r="Q46">
        <v>1</v>
      </c>
      <c r="X46">
        <v>0.05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F46" t="s">
        <v>551</v>
      </c>
      <c r="AG46">
        <v>0.0625</v>
      </c>
      <c r="AH46">
        <v>2</v>
      </c>
      <c r="AI46">
        <v>14724330</v>
      </c>
      <c r="AJ46">
        <v>49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ROW(Source!A37)</f>
        <v>37</v>
      </c>
      <c r="B47">
        <v>14724341</v>
      </c>
      <c r="C47">
        <v>14724328</v>
      </c>
      <c r="D47">
        <v>10762907</v>
      </c>
      <c r="E47">
        <v>1</v>
      </c>
      <c r="F47">
        <v>1</v>
      </c>
      <c r="G47">
        <v>1</v>
      </c>
      <c r="H47">
        <v>2</v>
      </c>
      <c r="I47" t="s">
        <v>397</v>
      </c>
      <c r="J47" t="s">
        <v>398</v>
      </c>
      <c r="K47" t="s">
        <v>399</v>
      </c>
      <c r="L47">
        <v>1480</v>
      </c>
      <c r="N47">
        <v>1013</v>
      </c>
      <c r="O47" t="s">
        <v>361</v>
      </c>
      <c r="P47" t="s">
        <v>362</v>
      </c>
      <c r="Q47">
        <v>1</v>
      </c>
      <c r="X47">
        <v>0.02</v>
      </c>
      <c r="Y47">
        <v>0</v>
      </c>
      <c r="Z47">
        <v>111.99</v>
      </c>
      <c r="AA47">
        <v>13.5</v>
      </c>
      <c r="AB47">
        <v>0</v>
      </c>
      <c r="AC47">
        <v>0</v>
      </c>
      <c r="AD47">
        <v>1</v>
      </c>
      <c r="AE47">
        <v>0</v>
      </c>
      <c r="AF47" t="s">
        <v>551</v>
      </c>
      <c r="AG47">
        <v>0.025</v>
      </c>
      <c r="AH47">
        <v>2</v>
      </c>
      <c r="AI47">
        <v>14724331</v>
      </c>
      <c r="AJ47">
        <v>50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ROW(Source!A37)</f>
        <v>37</v>
      </c>
      <c r="B48">
        <v>14724342</v>
      </c>
      <c r="C48">
        <v>14724328</v>
      </c>
      <c r="D48">
        <v>10782254</v>
      </c>
      <c r="E48">
        <v>1</v>
      </c>
      <c r="F48">
        <v>1</v>
      </c>
      <c r="G48">
        <v>1</v>
      </c>
      <c r="H48">
        <v>2</v>
      </c>
      <c r="I48" t="s">
        <v>358</v>
      </c>
      <c r="J48" t="s">
        <v>359</v>
      </c>
      <c r="K48" t="s">
        <v>360</v>
      </c>
      <c r="L48">
        <v>1480</v>
      </c>
      <c r="N48">
        <v>1013</v>
      </c>
      <c r="O48" t="s">
        <v>361</v>
      </c>
      <c r="P48" t="s">
        <v>362</v>
      </c>
      <c r="Q48">
        <v>1</v>
      </c>
      <c r="X48">
        <v>0.03</v>
      </c>
      <c r="Y48">
        <v>0</v>
      </c>
      <c r="Z48">
        <v>89.99</v>
      </c>
      <c r="AA48">
        <v>10.06</v>
      </c>
      <c r="AB48">
        <v>0</v>
      </c>
      <c r="AC48">
        <v>0</v>
      </c>
      <c r="AD48">
        <v>1</v>
      </c>
      <c r="AE48">
        <v>0</v>
      </c>
      <c r="AF48" t="s">
        <v>551</v>
      </c>
      <c r="AG48">
        <v>0.0375</v>
      </c>
      <c r="AH48">
        <v>2</v>
      </c>
      <c r="AI48">
        <v>14724332</v>
      </c>
      <c r="AJ48">
        <v>51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ROW(Source!A37)</f>
        <v>37</v>
      </c>
      <c r="B49">
        <v>14724343</v>
      </c>
      <c r="C49">
        <v>14724328</v>
      </c>
      <c r="D49">
        <v>11002500</v>
      </c>
      <c r="E49">
        <v>1</v>
      </c>
      <c r="F49">
        <v>1</v>
      </c>
      <c r="G49">
        <v>1</v>
      </c>
      <c r="H49">
        <v>2</v>
      </c>
      <c r="I49" t="s">
        <v>418</v>
      </c>
      <c r="J49" t="s">
        <v>419</v>
      </c>
      <c r="K49" t="s">
        <v>420</v>
      </c>
      <c r="L49">
        <v>1480</v>
      </c>
      <c r="N49">
        <v>1013</v>
      </c>
      <c r="O49" t="s">
        <v>361</v>
      </c>
      <c r="P49" t="s">
        <v>362</v>
      </c>
      <c r="Q49">
        <v>1</v>
      </c>
      <c r="X49">
        <v>0.85</v>
      </c>
      <c r="Y49">
        <v>0</v>
      </c>
      <c r="Z49">
        <v>60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551</v>
      </c>
      <c r="AG49">
        <v>1.0625</v>
      </c>
      <c r="AH49">
        <v>2</v>
      </c>
      <c r="AI49">
        <v>14724333</v>
      </c>
      <c r="AJ49">
        <v>52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ROW(Source!A37)</f>
        <v>37</v>
      </c>
      <c r="B50">
        <v>14724344</v>
      </c>
      <c r="C50">
        <v>14724328</v>
      </c>
      <c r="D50">
        <v>10762668</v>
      </c>
      <c r="E50">
        <v>1</v>
      </c>
      <c r="F50">
        <v>1</v>
      </c>
      <c r="G50">
        <v>1</v>
      </c>
      <c r="H50">
        <v>2</v>
      </c>
      <c r="I50" t="s">
        <v>403</v>
      </c>
      <c r="J50" t="s">
        <v>404</v>
      </c>
      <c r="K50" t="s">
        <v>405</v>
      </c>
      <c r="L50">
        <v>1480</v>
      </c>
      <c r="N50">
        <v>1013</v>
      </c>
      <c r="O50" t="s">
        <v>361</v>
      </c>
      <c r="P50" t="s">
        <v>362</v>
      </c>
      <c r="Q50">
        <v>1</v>
      </c>
      <c r="X50">
        <v>0.02</v>
      </c>
      <c r="Y50">
        <v>0</v>
      </c>
      <c r="Z50">
        <v>87.17</v>
      </c>
      <c r="AA50">
        <v>11.6</v>
      </c>
      <c r="AB50">
        <v>0</v>
      </c>
      <c r="AC50">
        <v>0</v>
      </c>
      <c r="AD50">
        <v>1</v>
      </c>
      <c r="AE50">
        <v>0</v>
      </c>
      <c r="AF50" t="s">
        <v>551</v>
      </c>
      <c r="AG50">
        <v>0.025</v>
      </c>
      <c r="AH50">
        <v>2</v>
      </c>
      <c r="AI50">
        <v>14724334</v>
      </c>
      <c r="AJ50">
        <v>53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ROW(Source!A37)</f>
        <v>37</v>
      </c>
      <c r="B51">
        <v>14724345</v>
      </c>
      <c r="C51">
        <v>14724328</v>
      </c>
      <c r="D51">
        <v>10776886</v>
      </c>
      <c r="E51">
        <v>1</v>
      </c>
      <c r="F51">
        <v>1</v>
      </c>
      <c r="G51">
        <v>1</v>
      </c>
      <c r="H51">
        <v>3</v>
      </c>
      <c r="I51" t="s">
        <v>12</v>
      </c>
      <c r="J51" t="s">
        <v>14</v>
      </c>
      <c r="K51" t="s">
        <v>13</v>
      </c>
      <c r="L51">
        <v>1348</v>
      </c>
      <c r="N51">
        <v>1009</v>
      </c>
      <c r="O51" t="s">
        <v>1</v>
      </c>
      <c r="P51" t="s">
        <v>1</v>
      </c>
      <c r="Q51">
        <v>1000</v>
      </c>
      <c r="X51">
        <v>0.06</v>
      </c>
      <c r="Y51">
        <v>1487.6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0.06</v>
      </c>
      <c r="AH51">
        <v>2</v>
      </c>
      <c r="AI51">
        <v>14724335</v>
      </c>
      <c r="AJ51">
        <v>54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ROW(Source!A37)</f>
        <v>37</v>
      </c>
      <c r="B52">
        <v>14724346</v>
      </c>
      <c r="C52">
        <v>14724328</v>
      </c>
      <c r="D52">
        <v>10777280</v>
      </c>
      <c r="E52">
        <v>1</v>
      </c>
      <c r="F52">
        <v>1</v>
      </c>
      <c r="G52">
        <v>1</v>
      </c>
      <c r="H52">
        <v>3</v>
      </c>
      <c r="I52" t="s">
        <v>421</v>
      </c>
      <c r="J52" t="s">
        <v>422</v>
      </c>
      <c r="K52" t="s">
        <v>423</v>
      </c>
      <c r="L52">
        <v>1339</v>
      </c>
      <c r="N52">
        <v>1007</v>
      </c>
      <c r="O52" t="s">
        <v>561</v>
      </c>
      <c r="P52" t="s">
        <v>561</v>
      </c>
      <c r="Q52">
        <v>1</v>
      </c>
      <c r="X52">
        <v>0.5</v>
      </c>
      <c r="Y52">
        <v>55.26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0.5</v>
      </c>
      <c r="AH52">
        <v>2</v>
      </c>
      <c r="AI52">
        <v>14724336</v>
      </c>
      <c r="AJ52">
        <v>55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ROW(Source!A37)</f>
        <v>37</v>
      </c>
      <c r="B53">
        <v>14724347</v>
      </c>
      <c r="C53">
        <v>14724328</v>
      </c>
      <c r="D53">
        <v>11336508</v>
      </c>
      <c r="E53">
        <v>1</v>
      </c>
      <c r="F53">
        <v>1</v>
      </c>
      <c r="G53">
        <v>1</v>
      </c>
      <c r="H53">
        <v>3</v>
      </c>
      <c r="I53" t="s">
        <v>46</v>
      </c>
      <c r="J53" t="s">
        <v>48</v>
      </c>
      <c r="K53" t="s">
        <v>47</v>
      </c>
      <c r="L53">
        <v>1348</v>
      </c>
      <c r="N53">
        <v>1009</v>
      </c>
      <c r="O53" t="s">
        <v>1</v>
      </c>
      <c r="P53" t="s">
        <v>1</v>
      </c>
      <c r="Q53">
        <v>1000</v>
      </c>
      <c r="X53">
        <v>7.14</v>
      </c>
      <c r="Y53">
        <v>455.39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7.14</v>
      </c>
      <c r="AH53">
        <v>2</v>
      </c>
      <c r="AI53">
        <v>14724337</v>
      </c>
      <c r="AJ53">
        <v>57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ROW(Source!A40)</f>
        <v>40</v>
      </c>
      <c r="B54">
        <v>14724355</v>
      </c>
      <c r="C54">
        <v>14724350</v>
      </c>
      <c r="D54">
        <v>12171686</v>
      </c>
      <c r="E54">
        <v>1</v>
      </c>
      <c r="F54">
        <v>1</v>
      </c>
      <c r="G54">
        <v>1</v>
      </c>
      <c r="H54">
        <v>1</v>
      </c>
      <c r="I54" t="s">
        <v>416</v>
      </c>
      <c r="K54" t="s">
        <v>417</v>
      </c>
      <c r="L54">
        <v>1369</v>
      </c>
      <c r="N54">
        <v>1013</v>
      </c>
      <c r="O54" t="s">
        <v>356</v>
      </c>
      <c r="P54" t="s">
        <v>356</v>
      </c>
      <c r="Q54">
        <v>1</v>
      </c>
      <c r="X54">
        <v>2.32</v>
      </c>
      <c r="Y54">
        <v>0</v>
      </c>
      <c r="Z54">
        <v>0</v>
      </c>
      <c r="AA54">
        <v>0</v>
      </c>
      <c r="AB54">
        <v>9.29</v>
      </c>
      <c r="AC54">
        <v>0</v>
      </c>
      <c r="AD54">
        <v>1</v>
      </c>
      <c r="AE54">
        <v>1</v>
      </c>
      <c r="AF54" t="s">
        <v>552</v>
      </c>
      <c r="AG54">
        <v>2.6679999999999997</v>
      </c>
      <c r="AH54">
        <v>2</v>
      </c>
      <c r="AI54">
        <v>14724351</v>
      </c>
      <c r="AJ54">
        <v>58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ROW(Source!A40)</f>
        <v>40</v>
      </c>
      <c r="B55">
        <v>14724356</v>
      </c>
      <c r="C55">
        <v>14724350</v>
      </c>
      <c r="D55">
        <v>11002500</v>
      </c>
      <c r="E55">
        <v>1</v>
      </c>
      <c r="F55">
        <v>1</v>
      </c>
      <c r="G55">
        <v>1</v>
      </c>
      <c r="H55">
        <v>2</v>
      </c>
      <c r="I55" t="s">
        <v>418</v>
      </c>
      <c r="J55" t="s">
        <v>419</v>
      </c>
      <c r="K55" t="s">
        <v>420</v>
      </c>
      <c r="L55">
        <v>1480</v>
      </c>
      <c r="N55">
        <v>1013</v>
      </c>
      <c r="O55" t="s">
        <v>361</v>
      </c>
      <c r="P55" t="s">
        <v>362</v>
      </c>
      <c r="Q55">
        <v>1</v>
      </c>
      <c r="X55">
        <v>0.14</v>
      </c>
      <c r="Y55">
        <v>0</v>
      </c>
      <c r="Z55">
        <v>60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551</v>
      </c>
      <c r="AG55">
        <v>0.175</v>
      </c>
      <c r="AH55">
        <v>2</v>
      </c>
      <c r="AI55">
        <v>14724352</v>
      </c>
      <c r="AJ55">
        <v>59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ROW(Source!A40)</f>
        <v>40</v>
      </c>
      <c r="B56">
        <v>14724357</v>
      </c>
      <c r="C56">
        <v>14724350</v>
      </c>
      <c r="D56">
        <v>11336508</v>
      </c>
      <c r="E56">
        <v>1</v>
      </c>
      <c r="F56">
        <v>1</v>
      </c>
      <c r="G56">
        <v>1</v>
      </c>
      <c r="H56">
        <v>3</v>
      </c>
      <c r="I56" t="s">
        <v>46</v>
      </c>
      <c r="J56" t="s">
        <v>48</v>
      </c>
      <c r="K56" t="s">
        <v>47</v>
      </c>
      <c r="L56">
        <v>1348</v>
      </c>
      <c r="N56">
        <v>1009</v>
      </c>
      <c r="O56" t="s">
        <v>1</v>
      </c>
      <c r="P56" t="s">
        <v>1</v>
      </c>
      <c r="Q56">
        <v>1000</v>
      </c>
      <c r="X56">
        <v>1.21</v>
      </c>
      <c r="Y56">
        <v>455.39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1.21</v>
      </c>
      <c r="AH56">
        <v>2</v>
      </c>
      <c r="AI56">
        <v>14724353</v>
      </c>
      <c r="AJ56">
        <v>61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ROW(Source!A43)</f>
        <v>43</v>
      </c>
      <c r="B57">
        <v>14724363</v>
      </c>
      <c r="C57">
        <v>14724360</v>
      </c>
      <c r="D57">
        <v>121548</v>
      </c>
      <c r="E57">
        <v>1</v>
      </c>
      <c r="F57">
        <v>1</v>
      </c>
      <c r="G57">
        <v>1</v>
      </c>
      <c r="H57">
        <v>1</v>
      </c>
      <c r="I57" t="s">
        <v>566</v>
      </c>
      <c r="K57" t="s">
        <v>357</v>
      </c>
      <c r="L57">
        <v>1369</v>
      </c>
      <c r="N57">
        <v>1013</v>
      </c>
      <c r="O57" t="s">
        <v>356</v>
      </c>
      <c r="P57" t="s">
        <v>356</v>
      </c>
      <c r="Q57">
        <v>1</v>
      </c>
      <c r="X57">
        <v>0.029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2</v>
      </c>
      <c r="AG57">
        <v>0.029</v>
      </c>
      <c r="AH57">
        <v>2</v>
      </c>
      <c r="AI57">
        <v>14724361</v>
      </c>
      <c r="AJ57">
        <v>62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ROW(Source!A43)</f>
        <v>43</v>
      </c>
      <c r="B58">
        <v>14724364</v>
      </c>
      <c r="C58">
        <v>14724360</v>
      </c>
      <c r="D58">
        <v>10776638</v>
      </c>
      <c r="E58">
        <v>1</v>
      </c>
      <c r="F58">
        <v>1</v>
      </c>
      <c r="G58">
        <v>1</v>
      </c>
      <c r="H58">
        <v>2</v>
      </c>
      <c r="I58" t="s">
        <v>424</v>
      </c>
      <c r="J58" t="s">
        <v>425</v>
      </c>
      <c r="K58" t="s">
        <v>426</v>
      </c>
      <c r="L58">
        <v>1480</v>
      </c>
      <c r="N58">
        <v>1013</v>
      </c>
      <c r="O58" t="s">
        <v>361</v>
      </c>
      <c r="P58" t="s">
        <v>362</v>
      </c>
      <c r="Q58">
        <v>1</v>
      </c>
      <c r="X58">
        <v>0.029</v>
      </c>
      <c r="Y58">
        <v>0</v>
      </c>
      <c r="Z58">
        <v>125.7</v>
      </c>
      <c r="AA58">
        <v>13.5</v>
      </c>
      <c r="AB58">
        <v>0</v>
      </c>
      <c r="AC58">
        <v>0</v>
      </c>
      <c r="AD58">
        <v>1</v>
      </c>
      <c r="AE58">
        <v>0</v>
      </c>
      <c r="AG58">
        <v>0.029</v>
      </c>
      <c r="AH58">
        <v>2</v>
      </c>
      <c r="AI58">
        <v>14724362</v>
      </c>
      <c r="AJ58">
        <v>63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ROW(Source!A44)</f>
        <v>44</v>
      </c>
      <c r="B59">
        <v>14724368</v>
      </c>
      <c r="C59">
        <v>14724365</v>
      </c>
      <c r="D59">
        <v>121548</v>
      </c>
      <c r="E59">
        <v>1</v>
      </c>
      <c r="F59">
        <v>1</v>
      </c>
      <c r="G59">
        <v>1</v>
      </c>
      <c r="H59">
        <v>1</v>
      </c>
      <c r="I59" t="s">
        <v>566</v>
      </c>
      <c r="K59" t="s">
        <v>357</v>
      </c>
      <c r="L59">
        <v>1369</v>
      </c>
      <c r="N59">
        <v>1013</v>
      </c>
      <c r="O59" t="s">
        <v>356</v>
      </c>
      <c r="P59" t="s">
        <v>356</v>
      </c>
      <c r="Q59">
        <v>1</v>
      </c>
      <c r="X59">
        <v>1.052</v>
      </c>
      <c r="Y59">
        <v>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2</v>
      </c>
      <c r="AG59">
        <v>1.052</v>
      </c>
      <c r="AH59">
        <v>2</v>
      </c>
      <c r="AI59">
        <v>14724366</v>
      </c>
      <c r="AJ59">
        <v>64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ROW(Source!A44)</f>
        <v>44</v>
      </c>
      <c r="B60">
        <v>14724369</v>
      </c>
      <c r="C60">
        <v>14724365</v>
      </c>
      <c r="D60">
        <v>10775742</v>
      </c>
      <c r="E60">
        <v>1</v>
      </c>
      <c r="F60">
        <v>1</v>
      </c>
      <c r="G60">
        <v>1</v>
      </c>
      <c r="H60">
        <v>2</v>
      </c>
      <c r="I60" t="s">
        <v>427</v>
      </c>
      <c r="J60" t="s">
        <v>428</v>
      </c>
      <c r="K60" t="s">
        <v>429</v>
      </c>
      <c r="L60">
        <v>1480</v>
      </c>
      <c r="N60">
        <v>1013</v>
      </c>
      <c r="O60" t="s">
        <v>361</v>
      </c>
      <c r="P60" t="s">
        <v>362</v>
      </c>
      <c r="Q60">
        <v>1</v>
      </c>
      <c r="X60">
        <v>1.052</v>
      </c>
      <c r="Y60">
        <v>0</v>
      </c>
      <c r="Z60">
        <v>112.47</v>
      </c>
      <c r="AA60">
        <v>13.5</v>
      </c>
      <c r="AB60">
        <v>0</v>
      </c>
      <c r="AC60">
        <v>0</v>
      </c>
      <c r="AD60">
        <v>1</v>
      </c>
      <c r="AE60">
        <v>0</v>
      </c>
      <c r="AG60">
        <v>1.052</v>
      </c>
      <c r="AH60">
        <v>2</v>
      </c>
      <c r="AI60">
        <v>14724367</v>
      </c>
      <c r="AJ60">
        <v>65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ROW(Source!A45)</f>
        <v>45</v>
      </c>
      <c r="B61">
        <v>14724377</v>
      </c>
      <c r="C61">
        <v>14724370</v>
      </c>
      <c r="D61">
        <v>12171502</v>
      </c>
      <c r="E61">
        <v>1</v>
      </c>
      <c r="F61">
        <v>1</v>
      </c>
      <c r="G61">
        <v>1</v>
      </c>
      <c r="H61">
        <v>1</v>
      </c>
      <c r="I61" t="s">
        <v>430</v>
      </c>
      <c r="K61" t="s">
        <v>431</v>
      </c>
      <c r="L61">
        <v>1369</v>
      </c>
      <c r="N61">
        <v>1013</v>
      </c>
      <c r="O61" t="s">
        <v>356</v>
      </c>
      <c r="P61" t="s">
        <v>356</v>
      </c>
      <c r="Q61">
        <v>1</v>
      </c>
      <c r="X61">
        <v>4.53</v>
      </c>
      <c r="Y61">
        <v>0</v>
      </c>
      <c r="Z61">
        <v>0</v>
      </c>
      <c r="AA61">
        <v>0</v>
      </c>
      <c r="AB61">
        <v>8.53</v>
      </c>
      <c r="AC61">
        <v>0</v>
      </c>
      <c r="AD61">
        <v>1</v>
      </c>
      <c r="AE61">
        <v>1</v>
      </c>
      <c r="AG61">
        <v>4.53</v>
      </c>
      <c r="AH61">
        <v>2</v>
      </c>
      <c r="AI61">
        <v>14724371</v>
      </c>
      <c r="AJ61">
        <v>66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ROW(Source!A45)</f>
        <v>45</v>
      </c>
      <c r="B62">
        <v>14724378</v>
      </c>
      <c r="C62">
        <v>14724370</v>
      </c>
      <c r="D62">
        <v>10762668</v>
      </c>
      <c r="E62">
        <v>1</v>
      </c>
      <c r="F62">
        <v>1</v>
      </c>
      <c r="G62">
        <v>1</v>
      </c>
      <c r="H62">
        <v>2</v>
      </c>
      <c r="I62" t="s">
        <v>403</v>
      </c>
      <c r="J62" t="s">
        <v>404</v>
      </c>
      <c r="K62" t="s">
        <v>405</v>
      </c>
      <c r="L62">
        <v>1480</v>
      </c>
      <c r="N62">
        <v>1013</v>
      </c>
      <c r="O62" t="s">
        <v>361</v>
      </c>
      <c r="P62" t="s">
        <v>362</v>
      </c>
      <c r="Q62">
        <v>1</v>
      </c>
      <c r="X62">
        <v>0.1</v>
      </c>
      <c r="Y62">
        <v>0</v>
      </c>
      <c r="Z62">
        <v>87.17</v>
      </c>
      <c r="AA62">
        <v>11.6</v>
      </c>
      <c r="AB62">
        <v>0</v>
      </c>
      <c r="AC62">
        <v>0</v>
      </c>
      <c r="AD62">
        <v>1</v>
      </c>
      <c r="AE62">
        <v>0</v>
      </c>
      <c r="AG62">
        <v>0.1</v>
      </c>
      <c r="AH62">
        <v>2</v>
      </c>
      <c r="AI62">
        <v>14724372</v>
      </c>
      <c r="AJ62">
        <v>67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ROW(Source!A45)</f>
        <v>45</v>
      </c>
      <c r="B63">
        <v>14724379</v>
      </c>
      <c r="C63">
        <v>14724370</v>
      </c>
      <c r="D63">
        <v>11113971</v>
      </c>
      <c r="E63">
        <v>1</v>
      </c>
      <c r="F63">
        <v>1</v>
      </c>
      <c r="G63">
        <v>1</v>
      </c>
      <c r="H63">
        <v>3</v>
      </c>
      <c r="I63" t="s">
        <v>78</v>
      </c>
      <c r="J63" t="s">
        <v>80</v>
      </c>
      <c r="K63" t="s">
        <v>79</v>
      </c>
      <c r="L63">
        <v>1354</v>
      </c>
      <c r="N63">
        <v>1010</v>
      </c>
      <c r="O63" t="s">
        <v>72</v>
      </c>
      <c r="P63" t="s">
        <v>72</v>
      </c>
      <c r="Q63">
        <v>1</v>
      </c>
      <c r="X63">
        <v>1</v>
      </c>
      <c r="Y63">
        <v>569.52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G63">
        <v>1</v>
      </c>
      <c r="AH63">
        <v>2</v>
      </c>
      <c r="AI63">
        <v>14724373</v>
      </c>
      <c r="AJ63">
        <v>68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ROW(Source!A45)</f>
        <v>45</v>
      </c>
      <c r="B64">
        <v>14724380</v>
      </c>
      <c r="C64">
        <v>14724370</v>
      </c>
      <c r="D64">
        <v>10792135</v>
      </c>
      <c r="E64">
        <v>1</v>
      </c>
      <c r="F64">
        <v>1</v>
      </c>
      <c r="G64">
        <v>1</v>
      </c>
      <c r="H64">
        <v>3</v>
      </c>
      <c r="I64" t="s">
        <v>432</v>
      </c>
      <c r="J64" t="s">
        <v>433</v>
      </c>
      <c r="K64" t="s">
        <v>434</v>
      </c>
      <c r="L64">
        <v>1339</v>
      </c>
      <c r="N64">
        <v>1007</v>
      </c>
      <c r="O64" t="s">
        <v>561</v>
      </c>
      <c r="P64" t="s">
        <v>561</v>
      </c>
      <c r="Q64">
        <v>1</v>
      </c>
      <c r="X64">
        <v>0.35</v>
      </c>
      <c r="Y64">
        <v>580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0.35</v>
      </c>
      <c r="AH64">
        <v>2</v>
      </c>
      <c r="AI64">
        <v>14724374</v>
      </c>
      <c r="AJ64">
        <v>69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ROW(Source!A45)</f>
        <v>45</v>
      </c>
      <c r="B65">
        <v>14724381</v>
      </c>
      <c r="C65">
        <v>14724370</v>
      </c>
      <c r="D65">
        <v>10773770</v>
      </c>
      <c r="E65">
        <v>1</v>
      </c>
      <c r="F65">
        <v>1</v>
      </c>
      <c r="G65">
        <v>1</v>
      </c>
      <c r="H65">
        <v>3</v>
      </c>
      <c r="I65" t="s">
        <v>435</v>
      </c>
      <c r="J65" t="s">
        <v>436</v>
      </c>
      <c r="K65" t="s">
        <v>437</v>
      </c>
      <c r="L65">
        <v>1339</v>
      </c>
      <c r="N65">
        <v>1007</v>
      </c>
      <c r="O65" t="s">
        <v>561</v>
      </c>
      <c r="P65" t="s">
        <v>561</v>
      </c>
      <c r="Q65">
        <v>1</v>
      </c>
      <c r="X65">
        <v>0.03</v>
      </c>
      <c r="Y65">
        <v>485.9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0.03</v>
      </c>
      <c r="AH65">
        <v>2</v>
      </c>
      <c r="AI65">
        <v>14724375</v>
      </c>
      <c r="AJ65">
        <v>70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ROW(Source!A45)</f>
        <v>45</v>
      </c>
      <c r="B66">
        <v>14724382</v>
      </c>
      <c r="C66">
        <v>14724370</v>
      </c>
      <c r="D66">
        <v>11099091</v>
      </c>
      <c r="E66">
        <v>1</v>
      </c>
      <c r="F66">
        <v>1</v>
      </c>
      <c r="G66">
        <v>1</v>
      </c>
      <c r="H66">
        <v>3</v>
      </c>
      <c r="I66" t="s">
        <v>438</v>
      </c>
      <c r="J66" t="s">
        <v>439</v>
      </c>
      <c r="K66" t="s">
        <v>440</v>
      </c>
      <c r="L66">
        <v>1356</v>
      </c>
      <c r="N66">
        <v>1010</v>
      </c>
      <c r="O66" t="s">
        <v>441</v>
      </c>
      <c r="P66" t="s">
        <v>441</v>
      </c>
      <c r="Q66">
        <v>1000</v>
      </c>
      <c r="X66">
        <v>0.017</v>
      </c>
      <c r="Y66">
        <v>1752.6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0.017</v>
      </c>
      <c r="AH66">
        <v>2</v>
      </c>
      <c r="AI66">
        <v>14724376</v>
      </c>
      <c r="AJ66">
        <v>71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gkh03</cp:lastModifiedBy>
  <cp:lastPrinted>2011-09-14T05:32:05Z</cp:lastPrinted>
  <dcterms:created xsi:type="dcterms:W3CDTF">2011-09-14T05:33:00Z</dcterms:created>
  <dcterms:modified xsi:type="dcterms:W3CDTF">2011-09-14T05:33:02Z</dcterms:modified>
  <cp:category/>
  <cp:version/>
  <cp:contentType/>
  <cp:contentStatus/>
</cp:coreProperties>
</file>