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50" activeTab="0"/>
  </bookViews>
  <sheets>
    <sheet name="Смета ТЕР (4)" sheetId="1" r:id="rId1"/>
  </sheets>
  <definedNames>
    <definedName name="_xlnm.Print_Area" localSheetId="0">'Смета ТЕР (4)'!$A$1:$R$201</definedName>
  </definedNames>
  <calcPr fullCalcOnLoad="1"/>
</workbook>
</file>

<file path=xl/sharedStrings.xml><?xml version="1.0" encoding="utf-8"?>
<sst xmlns="http://schemas.openxmlformats.org/spreadsheetml/2006/main" count="298" uniqueCount="147">
  <si>
    <t>ЗАКАЗЧИК: МОУ Гимназия № 23</t>
  </si>
  <si>
    <t>"Согласовано"</t>
  </si>
  <si>
    <t>ПОДРЯДЧИК:</t>
  </si>
  <si>
    <t>К.А. Хомченко</t>
  </si>
  <si>
    <t xml:space="preserve"> ЛОКАЛЬНАЯ СМЕТА № 01</t>
  </si>
  <si>
    <t>Ремонт туалетов и спорт зала в МОУ Гимназия № 23 по адресу: г Иваново, ул Шошина, д. 15 б</t>
  </si>
  <si>
    <t xml:space="preserve">  Сметная стоимость </t>
  </si>
  <si>
    <t>тыс. руб</t>
  </si>
  <si>
    <t xml:space="preserve">  Средства на оплату труда </t>
  </si>
  <si>
    <t xml:space="preserve">  основание:  ведомость объёмов работ                                                                                                                                                                                  </t>
  </si>
  <si>
    <t>Составлена в ценах 2 кв 2008 г.</t>
  </si>
  <si>
    <t xml:space="preserve">  № п/п</t>
  </si>
  <si>
    <t>Шифр и номер позиции норматива</t>
  </si>
  <si>
    <t>Наименование работ  и затрат</t>
  </si>
  <si>
    <t>ФЭР</t>
  </si>
  <si>
    <t>Ремонт</t>
  </si>
  <si>
    <t>Экспл</t>
  </si>
  <si>
    <t>НДС</t>
  </si>
  <si>
    <t>Количество</t>
  </si>
  <si>
    <t>Стоимость на единицу, руб</t>
  </si>
  <si>
    <t>Общая стоимость, руб.</t>
  </si>
  <si>
    <t>з/пл</t>
  </si>
  <si>
    <t>мех</t>
  </si>
  <si>
    <t>мат</t>
  </si>
  <si>
    <t>ед. изм.</t>
  </si>
  <si>
    <t>Всего</t>
  </si>
  <si>
    <t>Экспл. Машин</t>
  </si>
  <si>
    <t>Материалы</t>
  </si>
  <si>
    <t>Основной зарплаты</t>
  </si>
  <si>
    <t>Экспл. машин</t>
  </si>
  <si>
    <t>В т.ч. зарплаты</t>
  </si>
  <si>
    <t>СТРОИТЕЛЬНЫЕ РАБОТЫ</t>
  </si>
  <si>
    <t>ТЕРр62-10-6</t>
  </si>
  <si>
    <t xml:space="preserve">Улучшенная масляная окраска ранее окрашенных дверей за два раза </t>
  </si>
  <si>
    <t xml:space="preserve">  </t>
  </si>
  <si>
    <t xml:space="preserve">100 м2 </t>
  </si>
  <si>
    <t>Накладные расходы</t>
  </si>
  <si>
    <t>Плановые накопления</t>
  </si>
  <si>
    <t>Краска масляная</t>
  </si>
  <si>
    <t xml:space="preserve">т </t>
  </si>
  <si>
    <t>ТЕРр61-4-1</t>
  </si>
  <si>
    <t>Ремонт штукатурки потолков отдельными местами до 1 м2</t>
  </si>
  <si>
    <t>ТЕРр61-2-1</t>
  </si>
  <si>
    <t>Ремонт штукатурки стен отдельными местами до 1 м2</t>
  </si>
  <si>
    <t>ТЕРр62-27-1</t>
  </si>
  <si>
    <t>Сплошная шпаклевка стен перед акриловой окраской</t>
  </si>
  <si>
    <t>ТЕРр62-7-6</t>
  </si>
  <si>
    <t xml:space="preserve">Водоэмульсионная акриловая окраска стен ранее окрашенных  масляной краской </t>
  </si>
  <si>
    <t>Краска акриловаяя</t>
  </si>
  <si>
    <t>ТЕРр62-11-6</t>
  </si>
  <si>
    <t xml:space="preserve">Улучшенная масляная окраска ранее окрашенных полов за два раза </t>
  </si>
  <si>
    <t>ТЕРр62-1-2</t>
  </si>
  <si>
    <t>Меловая окраска улучшенная</t>
  </si>
  <si>
    <t>ТЕРр56-11-1</t>
  </si>
  <si>
    <t>Снятие наличников</t>
  </si>
  <si>
    <t>100 м</t>
  </si>
  <si>
    <t>ТЕР10-01-060-1</t>
  </si>
  <si>
    <t>Установка и крепление наличников</t>
  </si>
  <si>
    <t>К=1,15:К=1,25;К=1,2</t>
  </si>
  <si>
    <t xml:space="preserve">100 м </t>
  </si>
  <si>
    <t>Наличники</t>
  </si>
  <si>
    <t>м</t>
  </si>
  <si>
    <t>ТЕР8-07-002-11</t>
  </si>
  <si>
    <t>Установка и разборка внутренних лесов</t>
  </si>
  <si>
    <t>ТЕР20-02-012-7</t>
  </si>
  <si>
    <t>Демонтаж дефлекторов 900 мм</t>
  </si>
  <si>
    <t>К=0,4</t>
  </si>
  <si>
    <t>шт</t>
  </si>
  <si>
    <t>Установка дефлекторов 900 мм</t>
  </si>
  <si>
    <t>Дефлектор</t>
  </si>
  <si>
    <t>Туалеты</t>
  </si>
  <si>
    <t>ТЕРр63-7-5</t>
  </si>
  <si>
    <t>Разборка облицовки стен из керамической плитки</t>
  </si>
  <si>
    <t>ТЕРр57-2-3</t>
  </si>
  <si>
    <t>Разборка полов из керамической плитки</t>
  </si>
  <si>
    <t>ТЕР15-01-019-3</t>
  </si>
  <si>
    <t>Облицовка стен керамической плиткой</t>
  </si>
  <si>
    <t>ТЕР11-01-027-2</t>
  </si>
  <si>
    <t>Устройство полов из плиток керамических</t>
  </si>
  <si>
    <t>САНИТАРНО-ТЕХНИЧЕСКИЕ РАБОТЫ</t>
  </si>
  <si>
    <t>ТЕРр65-4-8</t>
  </si>
  <si>
    <t>Демонтаж смывных бачков на стене</t>
  </si>
  <si>
    <t xml:space="preserve">100 шт </t>
  </si>
  <si>
    <t>ТЕРр65-6-12</t>
  </si>
  <si>
    <t>Смена унитазов "Компакт"</t>
  </si>
  <si>
    <t>Унитазы "Компакт</t>
  </si>
  <si>
    <t>ТЕРр65-6-15</t>
  </si>
  <si>
    <t>Смена умывальников</t>
  </si>
  <si>
    <t>Умывальники</t>
  </si>
  <si>
    <t>ТЕРр65-6-10</t>
  </si>
  <si>
    <t>Смена гибких подводок</t>
  </si>
  <si>
    <t>Гибкие подводки</t>
  </si>
  <si>
    <t>ТЕРр65-6-8</t>
  </si>
  <si>
    <t>Смена выпусков к умывальнику</t>
  </si>
  <si>
    <t>Выпуски к умывальнику</t>
  </si>
  <si>
    <t>ТЕРр65-5-7</t>
  </si>
  <si>
    <t>Смена смесителей для умывальников</t>
  </si>
  <si>
    <t>Смесители для умывальников</t>
  </si>
  <si>
    <t>ТЕРр65-5-1</t>
  </si>
  <si>
    <t>Смена кранов</t>
  </si>
  <si>
    <t>Краны 1/2"</t>
  </si>
  <si>
    <t>ТЕРр65-2-1</t>
  </si>
  <si>
    <t>Разборка труб канализационных 50 мм</t>
  </si>
  <si>
    <t>8а</t>
  </si>
  <si>
    <t>ТЕР16-04-001-1</t>
  </si>
  <si>
    <t>Прокладка труб канализационных 50 мм</t>
  </si>
  <si>
    <t>ТЕРр65-2-2</t>
  </si>
  <si>
    <t>Разборка труб канализационных 100 мм</t>
  </si>
  <si>
    <t>9а</t>
  </si>
  <si>
    <t>ТЕР16-04-001-2</t>
  </si>
  <si>
    <t>Прокладка труб канализационных 100 мм</t>
  </si>
  <si>
    <t>9а,1</t>
  </si>
  <si>
    <t>Прочистка 100 мм</t>
  </si>
  <si>
    <t>9а,2</t>
  </si>
  <si>
    <t>Переход 100*110 мм</t>
  </si>
  <si>
    <t>ТЕРр65-9-11</t>
  </si>
  <si>
    <t>Смена труб стальных на многослойные металло-пластовые до 20 мм</t>
  </si>
  <si>
    <t>Трубы 20 мм</t>
  </si>
  <si>
    <t>Отводы 20 мм</t>
  </si>
  <si>
    <t>Тройник 20 мм</t>
  </si>
  <si>
    <t>Переход 20*1/2 мм</t>
  </si>
  <si>
    <t>Муфта 20 мм</t>
  </si>
  <si>
    <t>Крепление  20 мм</t>
  </si>
  <si>
    <t>ТЕРр65-10-1</t>
  </si>
  <si>
    <t>Очистка внутренней канализационной сети</t>
  </si>
  <si>
    <t xml:space="preserve">                                     </t>
  </si>
  <si>
    <t xml:space="preserve">  Наименование и значение множителей</t>
  </si>
  <si>
    <t>Значение</t>
  </si>
  <si>
    <t>Прямые</t>
  </si>
  <si>
    <t xml:space="preserve">  ФОТ машинистов</t>
  </si>
  <si>
    <t xml:space="preserve">  ФОТ рабочих</t>
  </si>
  <si>
    <t xml:space="preserve">  Машины и механизмы</t>
  </si>
  <si>
    <t xml:space="preserve">  Материалы</t>
  </si>
  <si>
    <t xml:space="preserve">  ТЗР</t>
  </si>
  <si>
    <t xml:space="preserve">  Итого</t>
  </si>
  <si>
    <t xml:space="preserve">  Накладные расходы </t>
  </si>
  <si>
    <t xml:space="preserve">  Сметная прибыль </t>
  </si>
  <si>
    <t xml:space="preserve">  НДС 18 %:</t>
  </si>
  <si>
    <t xml:space="preserve">  ВСЕГО по смете</t>
  </si>
  <si>
    <t xml:space="preserve">  Составил:___________________________</t>
  </si>
  <si>
    <t xml:space="preserve">  Проверил:___________________________</t>
  </si>
  <si>
    <t>Стены пл разборка</t>
  </si>
  <si>
    <t>Стены мел</t>
  </si>
  <si>
    <t xml:space="preserve">потолок </t>
  </si>
  <si>
    <t>Пол</t>
  </si>
  <si>
    <t>Перегор</t>
  </si>
  <si>
    <t>Пл перег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</si>
</sst>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_ ;\-#,##0.0\ "/>
    <numFmt numFmtId="179" formatCode="#,##0_ ;\-#,##0\ "/>
    <numFmt numFmtId="180" formatCode="0.000%"/>
    <numFmt numFmtId="181" formatCode="0.0000000000"/>
    <numFmt numFmtId="182" formatCode="0.00000000000"/>
    <numFmt numFmtId="183" formatCode="0.000000000"/>
    <numFmt numFmtId="184" formatCode="0.00000000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0000%"/>
    <numFmt numFmtId="196" formatCode="0.000000000000000%"/>
    <numFmt numFmtId="197" formatCode="0.0000000000000000%"/>
    <numFmt numFmtId="198" formatCode="0.00000000000000000%"/>
    <numFmt numFmtId="199" formatCode="0.000000000000000000%"/>
    <numFmt numFmtId="200" formatCode="0.0000000000000000000%"/>
    <numFmt numFmtId="201" formatCode="0.00000000000000000000%"/>
    <numFmt numFmtId="202" formatCode="0.000000000000000000000%"/>
    <numFmt numFmtId="203" formatCode="0.0000000000000000000000%"/>
    <numFmt numFmtId="204" formatCode="0.00000000000000000000000%"/>
    <numFmt numFmtId="205" formatCode="0.000000000000000000000000%"/>
    <numFmt numFmtId="206" formatCode="[$€-2]\ ###,000_);[Red]\([$€-2]\ ###,000\)"/>
    <numFmt numFmtId="207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CG Omega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sz val="10"/>
      <color indexed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 applyBorder="0" applyProtection="0">
      <alignment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2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2" fontId="0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 vertical="top" wrapText="1"/>
    </xf>
    <xf numFmtId="168" fontId="21" fillId="0" borderId="13" xfId="0" applyNumberFormat="1" applyFont="1" applyBorder="1" applyAlignment="1">
      <alignment horizontal="center" vertical="top" wrapText="1"/>
    </xf>
    <xf numFmtId="169" fontId="0" fillId="0" borderId="13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1" fillId="0" borderId="13" xfId="0" applyNumberFormat="1" applyFont="1" applyBorder="1" applyAlignment="1">
      <alignment horizontal="center" vertical="top" wrapText="1"/>
    </xf>
    <xf numFmtId="2" fontId="21" fillId="0" borderId="13" xfId="53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64" fontId="21" fillId="0" borderId="13" xfId="53" applyNumberFormat="1" applyFont="1" applyFill="1" applyBorder="1" applyAlignment="1">
      <alignment horizontal="center" vertical="top" wrapText="1"/>
    </xf>
    <xf numFmtId="164" fontId="21" fillId="0" borderId="13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10" fontId="0" fillId="0" borderId="17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vertical="top" wrapText="1"/>
    </xf>
    <xf numFmtId="2" fontId="0" fillId="0" borderId="20" xfId="0" applyNumberFormat="1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vertical="top" wrapText="1"/>
    </xf>
    <xf numFmtId="2" fontId="0" fillId="0" borderId="22" xfId="0" applyNumberFormat="1" applyFont="1" applyBorder="1" applyAlignment="1">
      <alignment vertical="top" wrapText="1"/>
    </xf>
    <xf numFmtId="2" fontId="0" fillId="0" borderId="23" xfId="0" applyNumberFormat="1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7" xfId="0" applyFont="1" applyBorder="1" applyAlignment="1">
      <alignment vertical="top" wrapText="1"/>
    </xf>
    <xf numFmtId="2" fontId="21" fillId="0" borderId="27" xfId="0" applyNumberFormat="1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2" fontId="0" fillId="0" borderId="28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vertical="top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 vertical="top" wrapText="1"/>
    </xf>
    <xf numFmtId="10" fontId="0" fillId="0" borderId="30" xfId="0" applyNumberFormat="1" applyFont="1" applyBorder="1" applyAlignment="1">
      <alignment vertical="top" wrapText="1"/>
    </xf>
    <xf numFmtId="2" fontId="0" fillId="0" borderId="30" xfId="0" applyNumberFormat="1" applyFont="1" applyBorder="1" applyAlignment="1">
      <alignment vertical="top" wrapText="1"/>
    </xf>
    <xf numFmtId="2" fontId="0" fillId="0" borderId="31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 wrapText="1"/>
    </xf>
    <xf numFmtId="1" fontId="21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3" fontId="21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5" fillId="0" borderId="0" xfId="53" applyFont="1">
      <alignment/>
    </xf>
    <xf numFmtId="0" fontId="0" fillId="0" borderId="0" xfId="53">
      <alignment/>
    </xf>
    <xf numFmtId="0" fontId="0" fillId="0" borderId="0" xfId="53" applyFont="1">
      <alignment/>
    </xf>
    <xf numFmtId="1" fontId="26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25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1" fontId="0" fillId="0" borderId="0" xfId="0" applyNumberFormat="1" applyAlignment="1">
      <alignment wrapText="1"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с суд-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view="pageBreakPreview" zoomScale="78" zoomScaleSheetLayoutView="78" workbookViewId="0" topLeftCell="A4">
      <selection activeCell="O87" sqref="O87"/>
    </sheetView>
  </sheetViews>
  <sheetFormatPr defaultColWidth="9.00390625" defaultRowHeight="12.75"/>
  <cols>
    <col min="1" max="1" width="6.75390625" style="0" customWidth="1"/>
    <col min="2" max="2" width="19.00390625" style="0" customWidth="1"/>
    <col min="3" max="3" width="39.875" style="0" customWidth="1"/>
    <col min="4" max="8" width="5.25390625" style="0" hidden="1" customWidth="1"/>
    <col min="9" max="9" width="7.125" style="0" hidden="1" customWidth="1"/>
    <col min="10" max="10" width="5.25390625" style="0" hidden="1" customWidth="1"/>
    <col min="11" max="11" width="10.75390625" style="0" customWidth="1"/>
    <col min="12" max="12" width="13.375" style="0" bestFit="1" customWidth="1"/>
    <col min="13" max="13" width="10.00390625" style="0" bestFit="1" customWidth="1"/>
    <col min="14" max="14" width="11.625" style="0" customWidth="1"/>
    <col min="15" max="15" width="10.00390625" style="0" bestFit="1" customWidth="1"/>
    <col min="16" max="16" width="10.875" style="0" customWidth="1"/>
    <col min="17" max="17" width="10.75390625" style="0" bestFit="1" customWidth="1"/>
    <col min="18" max="18" width="11.75390625" style="0" customWidth="1"/>
    <col min="19" max="22" width="9.25390625" style="0" bestFit="1" customWidth="1"/>
  </cols>
  <sheetData>
    <row r="1" spans="1:16" ht="15.75">
      <c r="A1" t="s">
        <v>0</v>
      </c>
      <c r="O1" s="1" t="s">
        <v>1</v>
      </c>
      <c r="P1" s="1"/>
    </row>
    <row r="2" spans="1:3" ht="12.75">
      <c r="A2" s="2" t="s">
        <v>2</v>
      </c>
      <c r="B2" s="2"/>
      <c r="C2" s="2"/>
    </row>
    <row r="3" spans="17:18" ht="12.75">
      <c r="Q3" s="3" t="s">
        <v>3</v>
      </c>
      <c r="R3" s="3"/>
    </row>
    <row r="4" spans="1:18" ht="15.7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12.75">
      <c r="A7" s="7" t="s">
        <v>6</v>
      </c>
      <c r="B7" s="7"/>
      <c r="C7" s="8">
        <f>R195/1000</f>
        <v>856.4612300817405</v>
      </c>
      <c r="G7" s="7"/>
      <c r="H7" s="7"/>
      <c r="I7" s="9"/>
      <c r="J7" s="9"/>
      <c r="K7" s="7" t="s">
        <v>7</v>
      </c>
      <c r="L7" s="9"/>
      <c r="M7" s="9"/>
      <c r="N7" s="9"/>
      <c r="R7" s="9"/>
      <c r="S7" s="9"/>
    </row>
    <row r="8" spans="1:19" ht="12.75">
      <c r="A8" s="7" t="s">
        <v>8</v>
      </c>
      <c r="B8" s="7"/>
      <c r="C8" s="8">
        <f>R186/1000</f>
        <v>195.10984333568507</v>
      </c>
      <c r="G8" s="7"/>
      <c r="H8" s="7"/>
      <c r="I8" s="9"/>
      <c r="J8" s="9"/>
      <c r="K8" s="7" t="s">
        <v>7</v>
      </c>
      <c r="L8" s="9"/>
      <c r="M8" s="9"/>
      <c r="N8" s="9"/>
      <c r="R8" s="9"/>
      <c r="S8" s="9"/>
    </row>
    <row r="9" spans="1:16" ht="13.5" thickBot="1">
      <c r="A9" t="s">
        <v>9</v>
      </c>
      <c r="P9" t="s">
        <v>10</v>
      </c>
    </row>
    <row r="10" spans="1:18" ht="25.5">
      <c r="A10" s="10" t="s">
        <v>11</v>
      </c>
      <c r="B10" s="11" t="s">
        <v>12</v>
      </c>
      <c r="C10" s="12" t="s">
        <v>13</v>
      </c>
      <c r="D10" s="13" t="s">
        <v>14</v>
      </c>
      <c r="E10" s="13"/>
      <c r="F10" s="13"/>
      <c r="G10" s="13" t="s">
        <v>15</v>
      </c>
      <c r="H10" s="13"/>
      <c r="I10" s="14" t="s">
        <v>16</v>
      </c>
      <c r="J10" s="14" t="s">
        <v>17</v>
      </c>
      <c r="K10" s="15" t="s">
        <v>18</v>
      </c>
      <c r="L10" s="16" t="s">
        <v>19</v>
      </c>
      <c r="M10" s="17"/>
      <c r="N10" s="17"/>
      <c r="O10" s="16" t="s">
        <v>20</v>
      </c>
      <c r="P10" s="16"/>
      <c r="Q10" s="16"/>
      <c r="R10" s="18"/>
    </row>
    <row r="11" spans="1:18" ht="25.5">
      <c r="A11" s="19"/>
      <c r="B11" s="20"/>
      <c r="C11" s="21"/>
      <c r="D11" s="22" t="s">
        <v>21</v>
      </c>
      <c r="E11" s="22" t="s">
        <v>22</v>
      </c>
      <c r="F11" s="22" t="s">
        <v>23</v>
      </c>
      <c r="G11" s="22" t="s">
        <v>21</v>
      </c>
      <c r="H11" s="22" t="s">
        <v>22</v>
      </c>
      <c r="I11" s="22"/>
      <c r="J11" s="22"/>
      <c r="K11" s="23" t="s">
        <v>24</v>
      </c>
      <c r="L11" s="24" t="s">
        <v>25</v>
      </c>
      <c r="M11" s="24" t="s">
        <v>26</v>
      </c>
      <c r="N11" s="24" t="s">
        <v>27</v>
      </c>
      <c r="O11" s="24" t="s">
        <v>25</v>
      </c>
      <c r="P11" s="24" t="s">
        <v>28</v>
      </c>
      <c r="Q11" s="24" t="s">
        <v>29</v>
      </c>
      <c r="R11" s="25" t="s">
        <v>27</v>
      </c>
    </row>
    <row r="12" spans="1:18" ht="26.25" thickBot="1">
      <c r="A12" s="26"/>
      <c r="B12" s="27"/>
      <c r="C12" s="21"/>
      <c r="D12" s="22"/>
      <c r="E12" s="22"/>
      <c r="F12" s="22"/>
      <c r="G12" s="22"/>
      <c r="H12" s="22"/>
      <c r="I12" s="22"/>
      <c r="J12" s="22"/>
      <c r="K12" s="28"/>
      <c r="L12" s="29" t="s">
        <v>28</v>
      </c>
      <c r="M12" s="29" t="s">
        <v>30</v>
      </c>
      <c r="N12" s="29"/>
      <c r="O12" s="29"/>
      <c r="P12" s="29"/>
      <c r="Q12" s="29" t="s">
        <v>30</v>
      </c>
      <c r="R12" s="30"/>
    </row>
    <row r="13" spans="1:18" ht="13.5" thickBot="1">
      <c r="A13" s="31">
        <v>1</v>
      </c>
      <c r="B13" s="32">
        <v>2</v>
      </c>
      <c r="C13" s="32">
        <v>3</v>
      </c>
      <c r="D13" s="32"/>
      <c r="E13" s="32"/>
      <c r="F13" s="32"/>
      <c r="G13" s="32"/>
      <c r="H13" s="32"/>
      <c r="I13" s="32"/>
      <c r="J13" s="32"/>
      <c r="K13" s="33">
        <v>4</v>
      </c>
      <c r="L13" s="33">
        <v>5</v>
      </c>
      <c r="M13" s="33">
        <v>6</v>
      </c>
      <c r="N13" s="33">
        <v>7</v>
      </c>
      <c r="O13" s="33">
        <v>8</v>
      </c>
      <c r="P13" s="33">
        <v>9</v>
      </c>
      <c r="Q13" s="33">
        <v>10</v>
      </c>
      <c r="R13" s="34">
        <v>11</v>
      </c>
    </row>
    <row r="14" spans="1:18" ht="12.75">
      <c r="A14" s="35"/>
      <c r="B14" s="36"/>
      <c r="C14" s="36" t="s">
        <v>31</v>
      </c>
      <c r="D14" s="36"/>
      <c r="E14" s="36"/>
      <c r="F14" s="36"/>
      <c r="G14" s="36"/>
      <c r="H14" s="36"/>
      <c r="I14" s="36"/>
      <c r="J14" s="36"/>
      <c r="K14" s="37"/>
      <c r="L14" s="37"/>
      <c r="M14" s="37"/>
      <c r="N14" s="37"/>
      <c r="O14" s="37"/>
      <c r="P14" s="37"/>
      <c r="Q14" s="37"/>
      <c r="R14" s="38"/>
    </row>
    <row r="15" spans="1:19" ht="25.5">
      <c r="A15" s="39">
        <v>1</v>
      </c>
      <c r="B15" s="40" t="s">
        <v>32</v>
      </c>
      <c r="C15" s="41" t="s">
        <v>33</v>
      </c>
      <c r="D15" s="41"/>
      <c r="E15" s="41"/>
      <c r="F15" s="41"/>
      <c r="G15" s="41"/>
      <c r="H15" s="41"/>
      <c r="I15" s="41"/>
      <c r="J15" s="41"/>
      <c r="K15" s="40">
        <f>2.05*1.5*2.2/100</f>
        <v>0.06765</v>
      </c>
      <c r="L15" s="42">
        <v>1135.71</v>
      </c>
      <c r="M15" s="43">
        <v>9.2</v>
      </c>
      <c r="N15" s="43">
        <v>460.02</v>
      </c>
      <c r="O15" s="42">
        <f>P15+Q15+R15</f>
        <v>76.8307815</v>
      </c>
      <c r="P15" s="42">
        <f>L16*D17*G17*I17*K15</f>
        <v>45.0880485</v>
      </c>
      <c r="Q15" s="42">
        <f>M15*E17*H17*I17*K15</f>
        <v>0.6223799999999999</v>
      </c>
      <c r="R15" s="44">
        <f>N15*F17*K15</f>
        <v>31.120352999999998</v>
      </c>
      <c r="S15" s="45"/>
    </row>
    <row r="16" spans="1:20" ht="12.75">
      <c r="A16" s="39" t="s">
        <v>34</v>
      </c>
      <c r="B16" s="46"/>
      <c r="C16" s="41"/>
      <c r="D16" s="47"/>
      <c r="E16" s="47"/>
      <c r="F16" s="47"/>
      <c r="G16" s="47"/>
      <c r="H16" s="47"/>
      <c r="I16" s="47"/>
      <c r="J16" s="47"/>
      <c r="K16" s="46" t="s">
        <v>35</v>
      </c>
      <c r="L16" s="42">
        <v>666.49</v>
      </c>
      <c r="M16" s="43">
        <v>1.43</v>
      </c>
      <c r="N16" s="43"/>
      <c r="O16" s="42"/>
      <c r="P16" s="42"/>
      <c r="Q16" s="42">
        <f>M16*D17*H17*I17*K15</f>
        <v>0.09673949999999999</v>
      </c>
      <c r="R16" s="44"/>
      <c r="T16" s="45">
        <f>Q16</f>
        <v>0.09673949999999999</v>
      </c>
    </row>
    <row r="17" spans="1:21" ht="12.75">
      <c r="A17" s="39"/>
      <c r="B17" s="40"/>
      <c r="C17" s="43" t="s">
        <v>36</v>
      </c>
      <c r="D17" s="48">
        <v>1</v>
      </c>
      <c r="E17" s="48">
        <v>1</v>
      </c>
      <c r="F17" s="48">
        <v>1</v>
      </c>
      <c r="G17" s="48">
        <v>1</v>
      </c>
      <c r="H17" s="48">
        <v>1</v>
      </c>
      <c r="I17" s="48">
        <v>1</v>
      </c>
      <c r="J17" s="48">
        <v>0.94</v>
      </c>
      <c r="K17" s="46"/>
      <c r="L17" s="49">
        <v>0.8</v>
      </c>
      <c r="M17" s="43"/>
      <c r="N17" s="43"/>
      <c r="O17" s="42"/>
      <c r="P17" s="42"/>
      <c r="Q17" s="42"/>
      <c r="R17" s="44"/>
      <c r="U17">
        <f>(P15+Q16)*L17*J17</f>
        <v>33.97896057599999</v>
      </c>
    </row>
    <row r="18" spans="1:22" ht="12.75">
      <c r="A18" s="39"/>
      <c r="B18" s="40"/>
      <c r="C18" s="43" t="s">
        <v>37</v>
      </c>
      <c r="D18" s="43"/>
      <c r="E18" s="43"/>
      <c r="F18" s="43"/>
      <c r="G18" s="43"/>
      <c r="H18" s="43"/>
      <c r="I18" s="43"/>
      <c r="J18" s="50"/>
      <c r="K18" s="46"/>
      <c r="L18" s="49">
        <v>0.5</v>
      </c>
      <c r="M18" s="43"/>
      <c r="N18" s="43"/>
      <c r="O18" s="42"/>
      <c r="P18" s="42"/>
      <c r="Q18" s="42"/>
      <c r="R18" s="44"/>
      <c r="V18">
        <f>(P15+Q16)*L18</f>
        <v>22.592394</v>
      </c>
    </row>
    <row r="19" spans="1:19" ht="12.75">
      <c r="A19" s="39">
        <v>1.1</v>
      </c>
      <c r="B19" s="40"/>
      <c r="C19" s="51" t="s">
        <v>38</v>
      </c>
      <c r="D19" s="43"/>
      <c r="E19" s="43"/>
      <c r="F19" s="43"/>
      <c r="G19" s="43"/>
      <c r="H19" s="43"/>
      <c r="I19" s="43"/>
      <c r="J19" s="50"/>
      <c r="K19" s="52">
        <f>0.0226*K15</f>
        <v>0.00152889</v>
      </c>
      <c r="L19" s="53">
        <f>N19</f>
        <v>21715.575620767497</v>
      </c>
      <c r="M19" s="43"/>
      <c r="N19" s="53">
        <v>21715.575620767497</v>
      </c>
      <c r="P19" s="42">
        <f>L19*K19</f>
        <v>33.200726410835216</v>
      </c>
      <c r="Q19" s="42"/>
      <c r="R19" s="44">
        <f>N19*K19</f>
        <v>33.200726410835216</v>
      </c>
      <c r="S19" s="45">
        <f>R19</f>
        <v>33.200726410835216</v>
      </c>
    </row>
    <row r="20" spans="1:18" ht="12.75">
      <c r="A20" s="39"/>
      <c r="B20" s="40"/>
      <c r="C20" s="43"/>
      <c r="D20" s="43"/>
      <c r="E20" s="43"/>
      <c r="F20" s="43"/>
      <c r="G20" s="43"/>
      <c r="H20" s="43"/>
      <c r="I20" s="43"/>
      <c r="J20" s="50"/>
      <c r="K20" s="46" t="s">
        <v>39</v>
      </c>
      <c r="L20" s="49"/>
      <c r="M20" s="43"/>
      <c r="N20" s="43"/>
      <c r="O20" s="42"/>
      <c r="P20" s="42"/>
      <c r="Q20" s="42"/>
      <c r="R20" s="44"/>
    </row>
    <row r="21" spans="1:19" s="55" customFormat="1" ht="25.5">
      <c r="A21" s="39">
        <v>2</v>
      </c>
      <c r="B21" s="40" t="s">
        <v>40</v>
      </c>
      <c r="C21" s="41" t="s">
        <v>41</v>
      </c>
      <c r="D21" s="41"/>
      <c r="E21" s="41"/>
      <c r="F21" s="41"/>
      <c r="G21" s="41"/>
      <c r="H21" s="41"/>
      <c r="I21" s="41"/>
      <c r="J21" s="41"/>
      <c r="K21" s="40">
        <v>0.1</v>
      </c>
      <c r="L21" s="42">
        <v>2932.56</v>
      </c>
      <c r="M21" s="43">
        <v>24.74</v>
      </c>
      <c r="N21" s="43">
        <v>1249.02</v>
      </c>
      <c r="O21" s="42">
        <f>P21+Q21+R21</f>
        <v>293.256</v>
      </c>
      <c r="P21" s="42">
        <f>L22*D23*G23*I23*K21</f>
        <v>165.88</v>
      </c>
      <c r="Q21" s="42">
        <f>M21*E23*H23*I23*K21</f>
        <v>2.474</v>
      </c>
      <c r="R21" s="44">
        <f>N21*F23*K21</f>
        <v>124.902</v>
      </c>
      <c r="S21" s="54"/>
    </row>
    <row r="22" spans="1:20" s="55" customFormat="1" ht="12.75">
      <c r="A22" s="39" t="s">
        <v>34</v>
      </c>
      <c r="B22" s="46"/>
      <c r="C22" s="41"/>
      <c r="D22" s="50"/>
      <c r="E22" s="50"/>
      <c r="F22" s="50"/>
      <c r="G22" s="50"/>
      <c r="H22" s="50"/>
      <c r="I22" s="50"/>
      <c r="J22" s="50"/>
      <c r="K22" s="46" t="s">
        <v>35</v>
      </c>
      <c r="L22" s="42">
        <v>1658.8</v>
      </c>
      <c r="M22" s="43">
        <v>6.43</v>
      </c>
      <c r="N22" s="43"/>
      <c r="O22" s="42"/>
      <c r="P22" s="42"/>
      <c r="Q22" s="42">
        <f>M22*D23*H23*I23*K21</f>
        <v>0.643</v>
      </c>
      <c r="R22" s="44"/>
      <c r="T22" s="54">
        <f>Q22</f>
        <v>0.643</v>
      </c>
    </row>
    <row r="23" spans="1:21" s="55" customFormat="1" ht="12.75">
      <c r="A23" s="39"/>
      <c r="B23" s="40"/>
      <c r="C23" s="43" t="s">
        <v>36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0.94</v>
      </c>
      <c r="K23" s="46"/>
      <c r="L23" s="49">
        <v>0.79</v>
      </c>
      <c r="M23" s="43"/>
      <c r="N23" s="43"/>
      <c r="O23" s="42"/>
      <c r="P23" s="42"/>
      <c r="Q23" s="42"/>
      <c r="R23" s="44"/>
      <c r="U23" s="55">
        <f>(P21+Q22)*L23*J23</f>
        <v>123.65997979999999</v>
      </c>
    </row>
    <row r="24" spans="1:22" s="55" customFormat="1" ht="12.75">
      <c r="A24" s="39"/>
      <c r="B24" s="40"/>
      <c r="C24" s="43" t="s">
        <v>37</v>
      </c>
      <c r="D24" s="43"/>
      <c r="E24" s="43"/>
      <c r="F24" s="43"/>
      <c r="G24" s="43"/>
      <c r="H24" s="43"/>
      <c r="I24" s="43"/>
      <c r="J24" s="50"/>
      <c r="K24" s="46"/>
      <c r="L24" s="49">
        <v>0.5</v>
      </c>
      <c r="M24" s="43"/>
      <c r="N24" s="43"/>
      <c r="O24" s="42"/>
      <c r="P24" s="42"/>
      <c r="Q24" s="42"/>
      <c r="R24" s="44"/>
      <c r="V24" s="55">
        <f>(P21+Q22)*L24</f>
        <v>83.2615</v>
      </c>
    </row>
    <row r="25" spans="1:19" s="55" customFormat="1" ht="25.5">
      <c r="A25" s="39">
        <v>3</v>
      </c>
      <c r="B25" s="40" t="s">
        <v>42</v>
      </c>
      <c r="C25" s="41" t="s">
        <v>43</v>
      </c>
      <c r="D25" s="41"/>
      <c r="E25" s="41"/>
      <c r="F25" s="41"/>
      <c r="G25" s="41"/>
      <c r="H25" s="41"/>
      <c r="I25" s="41"/>
      <c r="J25" s="41"/>
      <c r="K25" s="40">
        <v>0.35</v>
      </c>
      <c r="L25" s="42">
        <v>2660.51</v>
      </c>
      <c r="M25" s="43">
        <v>23.02</v>
      </c>
      <c r="N25" s="43">
        <v>1189.6</v>
      </c>
      <c r="O25" s="42">
        <f>P25+Q25+R25</f>
        <v>931.1785</v>
      </c>
      <c r="P25" s="42">
        <f>L26*D27*G27*I27*K25</f>
        <v>506.7615</v>
      </c>
      <c r="Q25" s="42">
        <f>M25*E27*H27*I27*K25</f>
        <v>8.056999999999999</v>
      </c>
      <c r="R25" s="44">
        <f>N25*F27*K25</f>
        <v>416.35999999999996</v>
      </c>
      <c r="S25" s="54"/>
    </row>
    <row r="26" spans="1:20" s="55" customFormat="1" ht="12.75">
      <c r="A26" s="39" t="s">
        <v>34</v>
      </c>
      <c r="B26" s="46"/>
      <c r="C26" s="41"/>
      <c r="D26" s="50"/>
      <c r="E26" s="50"/>
      <c r="F26" s="50"/>
      <c r="G26" s="50"/>
      <c r="H26" s="50"/>
      <c r="I26" s="50"/>
      <c r="J26" s="50"/>
      <c r="K26" s="46" t="s">
        <v>35</v>
      </c>
      <c r="L26" s="42">
        <v>1447.89</v>
      </c>
      <c r="M26" s="43">
        <v>5.98</v>
      </c>
      <c r="N26" s="43"/>
      <c r="O26" s="42"/>
      <c r="P26" s="42"/>
      <c r="Q26" s="42">
        <f>M26*D27*H27*I27*K25</f>
        <v>2.093</v>
      </c>
      <c r="R26" s="44"/>
      <c r="T26" s="54">
        <f>Q26</f>
        <v>2.093</v>
      </c>
    </row>
    <row r="27" spans="1:21" s="55" customFormat="1" ht="12.75">
      <c r="A27" s="39"/>
      <c r="B27" s="40"/>
      <c r="C27" s="43" t="s">
        <v>36</v>
      </c>
      <c r="D27" s="48">
        <v>1</v>
      </c>
      <c r="E27" s="48">
        <v>1</v>
      </c>
      <c r="F27" s="48">
        <v>1</v>
      </c>
      <c r="G27" s="48">
        <v>1</v>
      </c>
      <c r="H27" s="48">
        <v>1</v>
      </c>
      <c r="I27" s="48">
        <v>1</v>
      </c>
      <c r="J27" s="48">
        <v>0.94</v>
      </c>
      <c r="K27" s="46"/>
      <c r="L27" s="49">
        <v>0.79</v>
      </c>
      <c r="M27" s="43"/>
      <c r="N27" s="43"/>
      <c r="O27" s="42"/>
      <c r="P27" s="42"/>
      <c r="Q27" s="42"/>
      <c r="R27" s="44"/>
      <c r="U27" s="55">
        <f>(P25+Q26)*L27*J27</f>
        <v>377.8753517</v>
      </c>
    </row>
    <row r="28" spans="1:22" s="55" customFormat="1" ht="12.75">
      <c r="A28" s="39"/>
      <c r="B28" s="40"/>
      <c r="C28" s="43" t="s">
        <v>37</v>
      </c>
      <c r="D28" s="43"/>
      <c r="E28" s="43"/>
      <c r="F28" s="43"/>
      <c r="G28" s="43"/>
      <c r="H28" s="43"/>
      <c r="I28" s="43"/>
      <c r="J28" s="50"/>
      <c r="K28" s="46"/>
      <c r="L28" s="49">
        <v>0.5</v>
      </c>
      <c r="M28" s="43"/>
      <c r="N28" s="43"/>
      <c r="O28" s="42"/>
      <c r="P28" s="42"/>
      <c r="Q28" s="42"/>
      <c r="R28" s="44"/>
      <c r="V28" s="55">
        <f>(P25+Q26)*L28</f>
        <v>254.42725000000002</v>
      </c>
    </row>
    <row r="29" spans="1:19" ht="25.5">
      <c r="A29" s="39">
        <v>4</v>
      </c>
      <c r="B29" s="40" t="s">
        <v>44</v>
      </c>
      <c r="C29" s="41" t="s">
        <v>45</v>
      </c>
      <c r="D29" s="41"/>
      <c r="E29" s="41"/>
      <c r="F29" s="41"/>
      <c r="G29" s="41"/>
      <c r="H29" s="41"/>
      <c r="I29" s="41"/>
      <c r="J29" s="41"/>
      <c r="K29" s="40">
        <f>(23+12)*2*6.5/100+0.06</f>
        <v>4.609999999999999</v>
      </c>
      <c r="L29" s="42">
        <v>521.33</v>
      </c>
      <c r="M29" s="43">
        <v>0.96</v>
      </c>
      <c r="N29" s="43">
        <v>355.15</v>
      </c>
      <c r="O29" s="42">
        <f>P29+Q29+R29</f>
        <v>2403.3313</v>
      </c>
      <c r="P29" s="42">
        <f>L30*D31*G31*I31*K29</f>
        <v>761.6641999999999</v>
      </c>
      <c r="Q29" s="42">
        <f>M29*E31*H31*I31*K29</f>
        <v>4.425599999999999</v>
      </c>
      <c r="R29" s="44">
        <f>N29*F31*K29</f>
        <v>1637.2414999999996</v>
      </c>
      <c r="S29" s="45"/>
    </row>
    <row r="30" spans="1:20" ht="12.75">
      <c r="A30" s="39" t="s">
        <v>34</v>
      </c>
      <c r="B30" s="46"/>
      <c r="C30" s="41"/>
      <c r="D30" s="47"/>
      <c r="E30" s="47"/>
      <c r="F30" s="47"/>
      <c r="G30" s="47"/>
      <c r="H30" s="47"/>
      <c r="I30" s="47"/>
      <c r="J30" s="47"/>
      <c r="K30" s="46" t="s">
        <v>35</v>
      </c>
      <c r="L30" s="42">
        <v>165.22</v>
      </c>
      <c r="M30" s="43">
        <v>0.09</v>
      </c>
      <c r="N30" s="43"/>
      <c r="O30" s="42"/>
      <c r="P30" s="42"/>
      <c r="Q30" s="42">
        <f>M30*D31*H31*I31*K29</f>
        <v>0.41489999999999994</v>
      </c>
      <c r="R30" s="44"/>
      <c r="T30" s="45">
        <f>Q30</f>
        <v>0.41489999999999994</v>
      </c>
    </row>
    <row r="31" spans="1:21" ht="12.75">
      <c r="A31" s="39"/>
      <c r="B31" s="40"/>
      <c r="C31" s="43" t="s">
        <v>36</v>
      </c>
      <c r="D31" s="48">
        <v>1</v>
      </c>
      <c r="E31" s="48">
        <v>1</v>
      </c>
      <c r="F31" s="48">
        <v>1</v>
      </c>
      <c r="G31" s="48">
        <v>1</v>
      </c>
      <c r="H31" s="48">
        <v>1</v>
      </c>
      <c r="I31" s="48">
        <v>1</v>
      </c>
      <c r="J31" s="48">
        <v>0.94</v>
      </c>
      <c r="K31" s="46"/>
      <c r="L31" s="49">
        <v>0.8</v>
      </c>
      <c r="M31" s="43"/>
      <c r="N31" s="43"/>
      <c r="O31" s="42"/>
      <c r="P31" s="42"/>
      <c r="Q31" s="42"/>
      <c r="R31" s="44"/>
      <c r="U31">
        <f>(P29+Q30)*L31*J31</f>
        <v>573.0834831999999</v>
      </c>
    </row>
    <row r="32" spans="1:22" ht="12.75">
      <c r="A32" s="39"/>
      <c r="B32" s="40"/>
      <c r="C32" s="43" t="s">
        <v>37</v>
      </c>
      <c r="D32" s="43"/>
      <c r="E32" s="43"/>
      <c r="F32" s="43"/>
      <c r="G32" s="43"/>
      <c r="H32" s="43"/>
      <c r="I32" s="43"/>
      <c r="J32" s="50"/>
      <c r="K32" s="46"/>
      <c r="L32" s="49">
        <v>0.5</v>
      </c>
      <c r="M32" s="43"/>
      <c r="N32" s="43"/>
      <c r="O32" s="42"/>
      <c r="P32" s="42"/>
      <c r="Q32" s="42"/>
      <c r="R32" s="44"/>
      <c r="V32">
        <f>(P29+Q30)*L32</f>
        <v>381.03954999999996</v>
      </c>
    </row>
    <row r="33" spans="1:19" ht="38.25">
      <c r="A33" s="39">
        <v>5</v>
      </c>
      <c r="B33" s="40" t="s">
        <v>46</v>
      </c>
      <c r="C33" s="41" t="s">
        <v>47</v>
      </c>
      <c r="D33" s="41"/>
      <c r="E33" s="41"/>
      <c r="F33" s="41"/>
      <c r="G33" s="41"/>
      <c r="H33" s="41"/>
      <c r="I33" s="41"/>
      <c r="J33" s="41"/>
      <c r="K33" s="40">
        <f>(23+12)*2*6.5/100+0.06</f>
        <v>4.609999999999999</v>
      </c>
      <c r="L33" s="42">
        <v>1875.85</v>
      </c>
      <c r="M33" s="43">
        <v>9.2</v>
      </c>
      <c r="N33" s="43">
        <v>1630.78</v>
      </c>
      <c r="O33" s="42">
        <f>P33+Q33+R33</f>
        <v>8647.6685</v>
      </c>
      <c r="P33" s="42">
        <f>L34*D35*G35*I35*K33</f>
        <v>1087.3607</v>
      </c>
      <c r="Q33" s="42">
        <f>M33*E35*H35*I35*K33</f>
        <v>42.41199999999999</v>
      </c>
      <c r="R33" s="44">
        <f>N33*F35*K33</f>
        <v>7517.895799999999</v>
      </c>
      <c r="S33" s="45"/>
    </row>
    <row r="34" spans="1:20" ht="12.75">
      <c r="A34" s="39" t="s">
        <v>34</v>
      </c>
      <c r="B34" s="46"/>
      <c r="C34" s="41"/>
      <c r="D34" s="47"/>
      <c r="E34" s="47"/>
      <c r="F34" s="47"/>
      <c r="G34" s="47"/>
      <c r="H34" s="47"/>
      <c r="I34" s="47"/>
      <c r="J34" s="47"/>
      <c r="K34" s="46" t="s">
        <v>35</v>
      </c>
      <c r="L34" s="42">
        <v>235.87</v>
      </c>
      <c r="M34" s="43">
        <v>1.49</v>
      </c>
      <c r="N34" s="43"/>
      <c r="O34" s="42"/>
      <c r="P34" s="42"/>
      <c r="Q34" s="42">
        <f>M34*D35*H35*I35*K33</f>
        <v>6.868899999999999</v>
      </c>
      <c r="R34" s="44"/>
      <c r="T34" s="45">
        <f>Q34</f>
        <v>6.868899999999999</v>
      </c>
    </row>
    <row r="35" spans="1:21" ht="12.75">
      <c r="A35" s="39"/>
      <c r="B35" s="40"/>
      <c r="C35" s="43" t="s">
        <v>36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0.94</v>
      </c>
      <c r="K35" s="46"/>
      <c r="L35" s="49">
        <v>0.8</v>
      </c>
      <c r="M35" s="43"/>
      <c r="N35" s="43"/>
      <c r="O35" s="42"/>
      <c r="P35" s="42"/>
      <c r="Q35" s="42"/>
      <c r="R35" s="44"/>
      <c r="U35">
        <f>(P33+Q34)*L35*J35</f>
        <v>822.8606591999999</v>
      </c>
    </row>
    <row r="36" spans="1:22" ht="12.75">
      <c r="A36" s="39"/>
      <c r="B36" s="40"/>
      <c r="C36" s="43" t="s">
        <v>37</v>
      </c>
      <c r="D36" s="43"/>
      <c r="E36" s="43"/>
      <c r="F36" s="43"/>
      <c r="G36" s="43"/>
      <c r="H36" s="43"/>
      <c r="I36" s="43"/>
      <c r="J36" s="50"/>
      <c r="K36" s="46"/>
      <c r="L36" s="49">
        <v>0.5</v>
      </c>
      <c r="M36" s="43"/>
      <c r="N36" s="43"/>
      <c r="O36" s="42"/>
      <c r="P36" s="42"/>
      <c r="Q36" s="42"/>
      <c r="R36" s="44"/>
      <c r="V36">
        <f>(P33+Q34)*L36</f>
        <v>547.1148</v>
      </c>
    </row>
    <row r="37" spans="1:19" ht="12.75">
      <c r="A37" s="39">
        <v>5.1</v>
      </c>
      <c r="B37" s="40"/>
      <c r="C37" s="51" t="s">
        <v>48</v>
      </c>
      <c r="D37" s="43"/>
      <c r="E37" s="43"/>
      <c r="F37" s="43"/>
      <c r="G37" s="43"/>
      <c r="H37" s="43"/>
      <c r="I37" s="43"/>
      <c r="J37" s="50"/>
      <c r="K37" s="52">
        <f>0.0226*K33</f>
        <v>0.10418599999999999</v>
      </c>
      <c r="L37" s="53">
        <f>N37</f>
        <v>10857.78781038375</v>
      </c>
      <c r="M37" s="43"/>
      <c r="N37" s="53">
        <f>21715.5756207675/2</f>
        <v>10857.78781038375</v>
      </c>
      <c r="P37" s="42">
        <f>L37*K37</f>
        <v>1131.2294808126412</v>
      </c>
      <c r="Q37" s="42"/>
      <c r="R37" s="44">
        <f>N37*K37</f>
        <v>1131.2294808126412</v>
      </c>
      <c r="S37" s="45">
        <f>R37</f>
        <v>1131.2294808126412</v>
      </c>
    </row>
    <row r="38" spans="1:18" ht="12.75">
      <c r="A38" s="39"/>
      <c r="B38" s="40"/>
      <c r="C38" s="43"/>
      <c r="D38" s="43"/>
      <c r="E38" s="43"/>
      <c r="F38" s="43"/>
      <c r="G38" s="43"/>
      <c r="H38" s="43"/>
      <c r="I38" s="43"/>
      <c r="J38" s="50"/>
      <c r="K38" s="46" t="s">
        <v>39</v>
      </c>
      <c r="L38" s="49"/>
      <c r="M38" s="43"/>
      <c r="N38" s="43"/>
      <c r="O38" s="42"/>
      <c r="P38" s="42"/>
      <c r="Q38" s="42"/>
      <c r="R38" s="44"/>
    </row>
    <row r="39" spans="1:19" ht="25.5">
      <c r="A39" s="39">
        <v>6</v>
      </c>
      <c r="B39" s="40" t="s">
        <v>49</v>
      </c>
      <c r="C39" s="41" t="s">
        <v>50</v>
      </c>
      <c r="D39" s="41"/>
      <c r="E39" s="41"/>
      <c r="F39" s="41"/>
      <c r="G39" s="41"/>
      <c r="H39" s="41"/>
      <c r="I39" s="41"/>
      <c r="J39" s="41"/>
      <c r="K39" s="40">
        <v>2.75</v>
      </c>
      <c r="L39" s="42">
        <v>903.4</v>
      </c>
      <c r="M39" s="43">
        <v>9.2</v>
      </c>
      <c r="N39" s="43">
        <v>507.78</v>
      </c>
      <c r="O39" s="42">
        <f>P39+Q39+R39</f>
        <v>2484.35</v>
      </c>
      <c r="P39" s="42">
        <f>L40*D41*G41*I41*K39</f>
        <v>1062.655</v>
      </c>
      <c r="Q39" s="42">
        <f>M39*E41*H41*I41*K39</f>
        <v>25.299999999999997</v>
      </c>
      <c r="R39" s="44">
        <f>N39*F41*K39</f>
        <v>1396.395</v>
      </c>
      <c r="S39" s="45"/>
    </row>
    <row r="40" spans="1:20" ht="12.75">
      <c r="A40" s="39" t="s">
        <v>34</v>
      </c>
      <c r="B40" s="46"/>
      <c r="C40" s="41"/>
      <c r="D40" s="47"/>
      <c r="E40" s="47"/>
      <c r="F40" s="47"/>
      <c r="G40" s="47"/>
      <c r="H40" s="47"/>
      <c r="I40" s="47"/>
      <c r="J40" s="47"/>
      <c r="K40" s="46" t="s">
        <v>35</v>
      </c>
      <c r="L40" s="42">
        <v>386.42</v>
      </c>
      <c r="M40" s="43">
        <v>1.43</v>
      </c>
      <c r="N40" s="43"/>
      <c r="O40" s="42"/>
      <c r="P40" s="42"/>
      <c r="Q40" s="42">
        <f>M40*D41*H41*I41*K39</f>
        <v>3.9324999999999997</v>
      </c>
      <c r="R40" s="44"/>
      <c r="T40" s="45">
        <f>Q40</f>
        <v>3.9324999999999997</v>
      </c>
    </row>
    <row r="41" spans="1:21" ht="12.75">
      <c r="A41" s="39"/>
      <c r="B41" s="40"/>
      <c r="C41" s="43" t="s">
        <v>36</v>
      </c>
      <c r="D41" s="48">
        <v>1</v>
      </c>
      <c r="E41" s="48">
        <v>1</v>
      </c>
      <c r="F41" s="48">
        <v>1</v>
      </c>
      <c r="G41" s="48">
        <v>1</v>
      </c>
      <c r="H41" s="48">
        <v>1</v>
      </c>
      <c r="I41" s="48">
        <v>1</v>
      </c>
      <c r="J41" s="48">
        <v>0.94</v>
      </c>
      <c r="K41" s="46"/>
      <c r="L41" s="49">
        <v>0.8</v>
      </c>
      <c r="M41" s="43"/>
      <c r="N41" s="43"/>
      <c r="O41" s="42"/>
      <c r="P41" s="42"/>
      <c r="Q41" s="42"/>
      <c r="R41" s="44"/>
      <c r="U41">
        <f>(P39+Q40)*L41*J41</f>
        <v>802.0737999999999</v>
      </c>
    </row>
    <row r="42" spans="1:22" ht="12.75">
      <c r="A42" s="39"/>
      <c r="B42" s="40"/>
      <c r="C42" s="43" t="s">
        <v>37</v>
      </c>
      <c r="D42" s="43"/>
      <c r="E42" s="43"/>
      <c r="F42" s="43"/>
      <c r="G42" s="43"/>
      <c r="H42" s="43"/>
      <c r="I42" s="43"/>
      <c r="J42" s="50"/>
      <c r="K42" s="46"/>
      <c r="L42" s="49">
        <v>0.5</v>
      </c>
      <c r="M42" s="43"/>
      <c r="N42" s="43"/>
      <c r="O42" s="42"/>
      <c r="P42" s="42"/>
      <c r="Q42" s="42"/>
      <c r="R42" s="44"/>
      <c r="V42">
        <f>(P39+Q40)*L42</f>
        <v>533.2937499999999</v>
      </c>
    </row>
    <row r="43" spans="1:19" ht="12.75">
      <c r="A43" s="39">
        <v>6.1</v>
      </c>
      <c r="B43" s="40"/>
      <c r="C43" s="51" t="s">
        <v>38</v>
      </c>
      <c r="D43" s="43"/>
      <c r="E43" s="43"/>
      <c r="F43" s="43"/>
      <c r="G43" s="43"/>
      <c r="H43" s="43"/>
      <c r="I43" s="43"/>
      <c r="J43" s="50"/>
      <c r="K43" s="52">
        <f>0.0226*K39</f>
        <v>0.06215</v>
      </c>
      <c r="L43" s="53">
        <f>N43</f>
        <v>21715.575620767497</v>
      </c>
      <c r="M43" s="43"/>
      <c r="N43" s="53">
        <v>21715.575620767497</v>
      </c>
      <c r="P43" s="42">
        <f>L43*K43</f>
        <v>1349.6230248307</v>
      </c>
      <c r="Q43" s="42"/>
      <c r="R43" s="44">
        <f>N43*K43</f>
        <v>1349.6230248307</v>
      </c>
      <c r="S43" s="45">
        <f>R43</f>
        <v>1349.6230248307</v>
      </c>
    </row>
    <row r="44" spans="1:18" ht="12.75">
      <c r="A44" s="39"/>
      <c r="B44" s="40"/>
      <c r="C44" s="43"/>
      <c r="D44" s="43"/>
      <c r="E44" s="43"/>
      <c r="F44" s="43"/>
      <c r="G44" s="43"/>
      <c r="H44" s="43"/>
      <c r="I44" s="43"/>
      <c r="J44" s="50"/>
      <c r="K44" s="46" t="s">
        <v>39</v>
      </c>
      <c r="L44" s="49"/>
      <c r="M44" s="43"/>
      <c r="N44" s="43"/>
      <c r="O44" s="42"/>
      <c r="P44" s="42"/>
      <c r="Q44" s="42"/>
      <c r="R44" s="44"/>
    </row>
    <row r="45" spans="1:19" ht="12.75">
      <c r="A45" s="39">
        <v>7</v>
      </c>
      <c r="B45" s="40" t="s">
        <v>51</v>
      </c>
      <c r="C45" s="41" t="s">
        <v>52</v>
      </c>
      <c r="D45" s="41"/>
      <c r="E45" s="41"/>
      <c r="F45" s="41"/>
      <c r="G45" s="41"/>
      <c r="H45" s="41"/>
      <c r="I45" s="41"/>
      <c r="J45" s="41"/>
      <c r="K45" s="56">
        <f>K39*1.25</f>
        <v>3.4375</v>
      </c>
      <c r="L45" s="42">
        <v>228.21</v>
      </c>
      <c r="M45" s="43">
        <v>8.24</v>
      </c>
      <c r="N45" s="43">
        <v>77.54</v>
      </c>
      <c r="O45" s="42">
        <f>P45+Q45+R45</f>
        <v>784.4718750000001</v>
      </c>
      <c r="P45" s="42">
        <f>L46*D47*G47*I47*K45</f>
        <v>489.60312500000003</v>
      </c>
      <c r="Q45" s="42">
        <f>M45*E47*H47*I47*K45</f>
        <v>28.325</v>
      </c>
      <c r="R45" s="44">
        <f>N45*F47*K45</f>
        <v>266.54375000000005</v>
      </c>
      <c r="S45" s="45"/>
    </row>
    <row r="46" spans="1:20" ht="12.75">
      <c r="A46" s="39" t="s">
        <v>34</v>
      </c>
      <c r="B46" s="46"/>
      <c r="C46" s="41"/>
      <c r="D46" s="47"/>
      <c r="E46" s="47"/>
      <c r="F46" s="47"/>
      <c r="G46" s="47"/>
      <c r="H46" s="47"/>
      <c r="I46" s="47"/>
      <c r="J46" s="47"/>
      <c r="K46" s="46" t="s">
        <v>35</v>
      </c>
      <c r="L46" s="42">
        <v>142.43</v>
      </c>
      <c r="M46" s="43">
        <v>1.34</v>
      </c>
      <c r="N46" s="43"/>
      <c r="O46" s="42"/>
      <c r="P46" s="42"/>
      <c r="Q46" s="42">
        <f>M46*D47*H47*I47*K45</f>
        <v>4.60625</v>
      </c>
      <c r="R46" s="44"/>
      <c r="T46" s="45">
        <f>Q46</f>
        <v>4.60625</v>
      </c>
    </row>
    <row r="47" spans="1:21" ht="12.75">
      <c r="A47" s="39"/>
      <c r="B47" s="40"/>
      <c r="C47" s="43" t="s">
        <v>36</v>
      </c>
      <c r="D47" s="48">
        <v>1</v>
      </c>
      <c r="E47" s="48">
        <v>1</v>
      </c>
      <c r="F47" s="48">
        <v>1</v>
      </c>
      <c r="G47" s="48">
        <v>1</v>
      </c>
      <c r="H47" s="48">
        <v>1</v>
      </c>
      <c r="I47" s="48">
        <v>1</v>
      </c>
      <c r="J47" s="48">
        <v>0.94</v>
      </c>
      <c r="K47" s="46"/>
      <c r="L47" s="49">
        <v>0.8</v>
      </c>
      <c r="M47" s="43"/>
      <c r="N47" s="43"/>
      <c r="O47" s="42"/>
      <c r="P47" s="42"/>
      <c r="Q47" s="42"/>
      <c r="R47" s="44"/>
      <c r="U47">
        <f>(P45+Q46)*L47*J47</f>
        <v>371.64545000000004</v>
      </c>
    </row>
    <row r="48" spans="1:22" ht="12.75">
      <c r="A48" s="39"/>
      <c r="B48" s="40"/>
      <c r="C48" s="43" t="s">
        <v>37</v>
      </c>
      <c r="D48" s="43"/>
      <c r="E48" s="43"/>
      <c r="F48" s="43"/>
      <c r="G48" s="43"/>
      <c r="H48" s="43"/>
      <c r="I48" s="43"/>
      <c r="J48" s="50"/>
      <c r="K48" s="46"/>
      <c r="L48" s="49">
        <v>0.5</v>
      </c>
      <c r="M48" s="43"/>
      <c r="N48" s="43"/>
      <c r="O48" s="42"/>
      <c r="P48" s="42"/>
      <c r="Q48" s="42"/>
      <c r="R48" s="44"/>
      <c r="V48">
        <f>(P45+Q46)*L48</f>
        <v>247.1046875</v>
      </c>
    </row>
    <row r="49" spans="1:19" ht="12.75">
      <c r="A49" s="39">
        <v>8</v>
      </c>
      <c r="B49" s="40" t="s">
        <v>53</v>
      </c>
      <c r="C49" s="41" t="s">
        <v>54</v>
      </c>
      <c r="D49" s="41"/>
      <c r="E49" s="41"/>
      <c r="F49" s="41"/>
      <c r="G49" s="41"/>
      <c r="H49" s="41"/>
      <c r="I49" s="41"/>
      <c r="J49" s="41"/>
      <c r="K49" s="40">
        <f>1.5*4*24/100</f>
        <v>1.44</v>
      </c>
      <c r="L49" s="42">
        <v>26.94</v>
      </c>
      <c r="M49" s="43">
        <v>0</v>
      </c>
      <c r="N49" s="43">
        <v>0</v>
      </c>
      <c r="O49" s="42">
        <f>P49+Q49+R49</f>
        <v>38.7936</v>
      </c>
      <c r="P49" s="42">
        <f>L50*D51*G51*I51*K49</f>
        <v>38.7936</v>
      </c>
      <c r="Q49" s="42">
        <f>M49*E51*H51*I51*K49</f>
        <v>0</v>
      </c>
      <c r="R49" s="44">
        <f>N49*F51*K49</f>
        <v>0</v>
      </c>
      <c r="S49" s="45"/>
    </row>
    <row r="50" spans="1:20" ht="12.75">
      <c r="A50" s="39" t="s">
        <v>34</v>
      </c>
      <c r="B50" s="46"/>
      <c r="C50" s="41"/>
      <c r="D50" s="47"/>
      <c r="E50" s="47"/>
      <c r="F50" s="47"/>
      <c r="G50" s="47"/>
      <c r="H50" s="47"/>
      <c r="I50" s="47"/>
      <c r="J50" s="47"/>
      <c r="K50" s="46" t="s">
        <v>55</v>
      </c>
      <c r="L50" s="42">
        <v>26.94</v>
      </c>
      <c r="M50" s="43">
        <v>0</v>
      </c>
      <c r="N50" s="43"/>
      <c r="O50" s="42"/>
      <c r="P50" s="42"/>
      <c r="Q50" s="42">
        <f>M50*D51*H51*I51*K49</f>
        <v>0</v>
      </c>
      <c r="R50" s="44"/>
      <c r="T50" s="45">
        <f>Q50</f>
        <v>0</v>
      </c>
    </row>
    <row r="51" spans="1:21" ht="12.75">
      <c r="A51" s="39"/>
      <c r="B51" s="40"/>
      <c r="C51" s="43" t="s">
        <v>36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0.94</v>
      </c>
      <c r="K51" s="46"/>
      <c r="L51" s="49">
        <v>0.82</v>
      </c>
      <c r="M51" s="43"/>
      <c r="N51" s="43"/>
      <c r="O51" s="42"/>
      <c r="P51" s="42"/>
      <c r="Q51" s="42"/>
      <c r="R51" s="44"/>
      <c r="U51">
        <f>(P49+Q50)*L51*J51</f>
        <v>29.902106879999995</v>
      </c>
    </row>
    <row r="52" spans="1:22" ht="12.75">
      <c r="A52" s="39"/>
      <c r="B52" s="40"/>
      <c r="C52" s="43" t="s">
        <v>37</v>
      </c>
      <c r="D52" s="43"/>
      <c r="E52" s="43"/>
      <c r="F52" s="43"/>
      <c r="G52" s="43"/>
      <c r="H52" s="43"/>
      <c r="I52" s="43"/>
      <c r="J52" s="50"/>
      <c r="K52" s="46"/>
      <c r="L52" s="49">
        <v>0.62</v>
      </c>
      <c r="M52" s="43"/>
      <c r="N52" s="43"/>
      <c r="O52" s="42"/>
      <c r="P52" s="42"/>
      <c r="Q52" s="42"/>
      <c r="R52" s="44"/>
      <c r="V52">
        <f>(P49+Q50)*L52</f>
        <v>24.052031999999997</v>
      </c>
    </row>
    <row r="53" spans="1:19" ht="12.75">
      <c r="A53" s="39">
        <v>9</v>
      </c>
      <c r="B53" s="40" t="s">
        <v>56</v>
      </c>
      <c r="C53" s="41" t="s">
        <v>57</v>
      </c>
      <c r="D53" s="43"/>
      <c r="E53" s="43"/>
      <c r="F53" s="43"/>
      <c r="G53" s="43"/>
      <c r="H53" s="43"/>
      <c r="I53" s="43"/>
      <c r="J53" s="43"/>
      <c r="K53" s="57">
        <f>K49</f>
        <v>1.44</v>
      </c>
      <c r="L53" s="42">
        <v>61.05</v>
      </c>
      <c r="M53" s="43">
        <v>3.84</v>
      </c>
      <c r="N53" s="43">
        <v>5.75</v>
      </c>
      <c r="O53" s="42">
        <f>P53+Q53+R53</f>
        <v>118.83571199999999</v>
      </c>
      <c r="P53" s="42">
        <f>L54*D55*G55*I55*K53</f>
        <v>102.26131199999999</v>
      </c>
      <c r="Q53" s="42">
        <f>M53*E55*H55*I55*K53</f>
        <v>8.2944</v>
      </c>
      <c r="R53" s="44">
        <f>N53*F55*K53</f>
        <v>8.28</v>
      </c>
      <c r="S53" s="45"/>
    </row>
    <row r="54" spans="1:20" ht="14.25" customHeight="1">
      <c r="A54" s="39"/>
      <c r="B54" s="43" t="s">
        <v>58</v>
      </c>
      <c r="C54" s="46"/>
      <c r="D54" s="50"/>
      <c r="E54" s="50"/>
      <c r="F54" s="50"/>
      <c r="G54" s="50"/>
      <c r="H54" s="50"/>
      <c r="I54" s="50"/>
      <c r="J54" s="50"/>
      <c r="K54" s="46" t="s">
        <v>59</v>
      </c>
      <c r="L54" s="43">
        <v>51.46</v>
      </c>
      <c r="M54" s="43">
        <v>0</v>
      </c>
      <c r="N54" s="43"/>
      <c r="O54" s="42"/>
      <c r="P54" s="42"/>
      <c r="Q54" s="42">
        <f>M54*E55*H55*I55*K53</f>
        <v>0</v>
      </c>
      <c r="R54" s="44"/>
      <c r="T54" s="45">
        <f>Q54</f>
        <v>0</v>
      </c>
    </row>
    <row r="55" spans="1:21" ht="12.75">
      <c r="A55" s="39"/>
      <c r="B55" s="40"/>
      <c r="C55" s="43" t="s">
        <v>36</v>
      </c>
      <c r="D55" s="48">
        <v>1</v>
      </c>
      <c r="E55" s="48">
        <v>1</v>
      </c>
      <c r="F55" s="48">
        <v>1</v>
      </c>
      <c r="G55" s="48">
        <v>1.15</v>
      </c>
      <c r="H55" s="48">
        <v>1.25</v>
      </c>
      <c r="I55" s="48">
        <v>1.2</v>
      </c>
      <c r="J55" s="48">
        <v>0.94</v>
      </c>
      <c r="K55" s="46"/>
      <c r="L55" s="49">
        <v>1.062</v>
      </c>
      <c r="M55" s="43"/>
      <c r="N55" s="43"/>
      <c r="O55" s="42"/>
      <c r="P55" s="42"/>
      <c r="Q55" s="42"/>
      <c r="R55" s="44"/>
      <c r="U55">
        <f>(P53+Q54)*L55*J55</f>
        <v>102.08542254336</v>
      </c>
    </row>
    <row r="56" spans="1:22" ht="12.75">
      <c r="A56" s="39"/>
      <c r="B56" s="40"/>
      <c r="C56" s="43" t="s">
        <v>37</v>
      </c>
      <c r="D56" s="41"/>
      <c r="E56" s="41"/>
      <c r="F56" s="41"/>
      <c r="G56" s="41"/>
      <c r="H56" s="41"/>
      <c r="I56" s="41"/>
      <c r="J56" s="47"/>
      <c r="K56" s="46"/>
      <c r="L56" s="49">
        <v>0.5355</v>
      </c>
      <c r="M56" s="43"/>
      <c r="N56" s="43"/>
      <c r="O56" s="42"/>
      <c r="P56" s="42"/>
      <c r="Q56" s="42"/>
      <c r="R56" s="44"/>
      <c r="V56">
        <f>(P53+Q54)*L56</f>
        <v>54.760932575999995</v>
      </c>
    </row>
    <row r="57" spans="1:19" ht="12.75">
      <c r="A57" s="39">
        <v>9.1</v>
      </c>
      <c r="B57" s="40"/>
      <c r="C57" s="43" t="s">
        <v>60</v>
      </c>
      <c r="D57" s="41"/>
      <c r="E57" s="41"/>
      <c r="F57" s="41"/>
      <c r="G57" s="41"/>
      <c r="H57" s="41"/>
      <c r="I57" s="41"/>
      <c r="J57" s="47"/>
      <c r="K57" s="40">
        <f>K53*112</f>
        <v>161.28</v>
      </c>
      <c r="L57" s="42">
        <f>46/4.44</f>
        <v>10.36036036036036</v>
      </c>
      <c r="M57" s="43"/>
      <c r="N57" s="42">
        <f>L57</f>
        <v>10.36036036036036</v>
      </c>
      <c r="P57" s="42">
        <f>L57*K57</f>
        <v>1670.918918918919</v>
      </c>
      <c r="Q57" s="42"/>
      <c r="R57" s="44">
        <f>N57*K57</f>
        <v>1670.918918918919</v>
      </c>
      <c r="S57" s="45">
        <f>R57</f>
        <v>1670.918918918919</v>
      </c>
    </row>
    <row r="58" spans="1:18" ht="12.75">
      <c r="A58" s="39"/>
      <c r="B58" s="40"/>
      <c r="C58" s="43"/>
      <c r="D58" s="41"/>
      <c r="E58" s="41"/>
      <c r="F58" s="41"/>
      <c r="G58" s="41"/>
      <c r="H58" s="41"/>
      <c r="I58" s="41"/>
      <c r="J58" s="47"/>
      <c r="K58" s="46" t="s">
        <v>61</v>
      </c>
      <c r="L58" s="49"/>
      <c r="M58" s="43"/>
      <c r="N58" s="43"/>
      <c r="O58" s="42"/>
      <c r="P58" s="42"/>
      <c r="Q58" s="42"/>
      <c r="R58" s="44"/>
    </row>
    <row r="59" spans="1:19" ht="12.75">
      <c r="A59" s="39">
        <v>10</v>
      </c>
      <c r="B59" s="40" t="s">
        <v>62</v>
      </c>
      <c r="C59" s="41" t="s">
        <v>63</v>
      </c>
      <c r="D59" s="43"/>
      <c r="E59" s="43"/>
      <c r="F59" s="43"/>
      <c r="G59" s="43"/>
      <c r="H59" s="43"/>
      <c r="I59" s="43"/>
      <c r="J59" s="43"/>
      <c r="K59" s="57">
        <f>K39+(12+23)*2*3.1/100</f>
        <v>4.92</v>
      </c>
      <c r="L59" s="42">
        <f>L60+M59+N59</f>
        <v>631.5799999999999</v>
      </c>
      <c r="M59" s="43">
        <v>10.56</v>
      </c>
      <c r="N59" s="43">
        <v>275.01</v>
      </c>
      <c r="O59" s="42">
        <f>P59+Q59+R59</f>
        <v>3780.2514959999994</v>
      </c>
      <c r="P59" s="42">
        <f>L60*D61*G61*I61*K59</f>
        <v>2349.2694959999994</v>
      </c>
      <c r="Q59" s="42">
        <f>M59*E61*H61*I61*K59</f>
        <v>77.9328</v>
      </c>
      <c r="R59" s="44">
        <f>N59*F61*K59</f>
        <v>1353.0492</v>
      </c>
      <c r="S59" s="45"/>
    </row>
    <row r="60" spans="1:20" ht="14.25" customHeight="1">
      <c r="A60" s="39"/>
      <c r="B60" s="43" t="s">
        <v>58</v>
      </c>
      <c r="C60" s="46"/>
      <c r="D60" s="50"/>
      <c r="E60" s="50"/>
      <c r="F60" s="50"/>
      <c r="G60" s="50"/>
      <c r="H60" s="50"/>
      <c r="I60" s="50"/>
      <c r="J60" s="50"/>
      <c r="K60" s="46" t="s">
        <v>59</v>
      </c>
      <c r="L60" s="43">
        <v>346.01</v>
      </c>
      <c r="M60" s="43">
        <v>0</v>
      </c>
      <c r="N60" s="43"/>
      <c r="O60" s="42"/>
      <c r="P60" s="42"/>
      <c r="Q60" s="42">
        <f>M60*E61*H61*I61*K59</f>
        <v>0</v>
      </c>
      <c r="R60" s="44"/>
      <c r="T60" s="45">
        <f>Q60</f>
        <v>0</v>
      </c>
    </row>
    <row r="61" spans="1:21" ht="12.75">
      <c r="A61" s="39"/>
      <c r="B61" s="40"/>
      <c r="C61" s="43" t="s">
        <v>36</v>
      </c>
      <c r="D61" s="48">
        <v>1</v>
      </c>
      <c r="E61" s="48">
        <v>1</v>
      </c>
      <c r="F61" s="48">
        <v>1</v>
      </c>
      <c r="G61" s="48">
        <v>1.15</v>
      </c>
      <c r="H61" s="48">
        <v>1.25</v>
      </c>
      <c r="I61" s="48">
        <v>1.2</v>
      </c>
      <c r="J61" s="48">
        <v>0.94</v>
      </c>
      <c r="K61" s="46"/>
      <c r="L61" s="49">
        <v>1.062</v>
      </c>
      <c r="M61" s="43"/>
      <c r="N61" s="43"/>
      <c r="O61" s="42"/>
      <c r="P61" s="42"/>
      <c r="Q61" s="42"/>
      <c r="R61" s="44"/>
      <c r="U61">
        <f>(P59+Q60)*L61*J61</f>
        <v>2345.2287524668795</v>
      </c>
    </row>
    <row r="62" spans="1:22" ht="12.75">
      <c r="A62" s="39"/>
      <c r="B62" s="40"/>
      <c r="C62" s="43" t="s">
        <v>37</v>
      </c>
      <c r="D62" s="41"/>
      <c r="E62" s="41"/>
      <c r="F62" s="41"/>
      <c r="G62" s="41"/>
      <c r="H62" s="41"/>
      <c r="I62" s="41"/>
      <c r="J62" s="47"/>
      <c r="K62" s="46"/>
      <c r="L62" s="49">
        <v>0.5355</v>
      </c>
      <c r="M62" s="43"/>
      <c r="N62" s="43"/>
      <c r="O62" s="42"/>
      <c r="P62" s="42"/>
      <c r="Q62" s="42"/>
      <c r="R62" s="44"/>
      <c r="V62">
        <f>(P59+Q60)*L62</f>
        <v>1258.0338151079995</v>
      </c>
    </row>
    <row r="63" spans="1:19" ht="12.75">
      <c r="A63" s="39">
        <v>11</v>
      </c>
      <c r="B63" s="40" t="s">
        <v>64</v>
      </c>
      <c r="C63" s="41" t="s">
        <v>65</v>
      </c>
      <c r="D63" s="43"/>
      <c r="E63" s="43"/>
      <c r="F63" s="43"/>
      <c r="G63" s="43"/>
      <c r="H63" s="43"/>
      <c r="I63" s="43"/>
      <c r="J63" s="43"/>
      <c r="K63" s="40">
        <v>1</v>
      </c>
      <c r="L63" s="42">
        <f>0.4*158.55</f>
        <v>63.42000000000001</v>
      </c>
      <c r="M63" s="43">
        <f>0.4*24.96</f>
        <v>9.984000000000002</v>
      </c>
      <c r="N63" s="43">
        <f>0.4*16.59</f>
        <v>6.636</v>
      </c>
      <c r="O63" s="42">
        <f>P63+Q63+R63</f>
        <v>72.93599999999999</v>
      </c>
      <c r="P63" s="42">
        <f>L64*D65*G65*I65*K63</f>
        <v>53.82</v>
      </c>
      <c r="Q63" s="42">
        <f>M63*E65*H65*I65*K63</f>
        <v>12.480000000000002</v>
      </c>
      <c r="R63" s="44">
        <f>N63*F65*K63</f>
        <v>6.636</v>
      </c>
      <c r="S63" s="45"/>
    </row>
    <row r="64" spans="1:20" ht="13.5" customHeight="1">
      <c r="A64" s="39"/>
      <c r="B64" s="46" t="s">
        <v>66</v>
      </c>
      <c r="C64" s="46"/>
      <c r="D64" s="50"/>
      <c r="E64" s="50"/>
      <c r="F64" s="50"/>
      <c r="G64" s="50"/>
      <c r="H64" s="50"/>
      <c r="I64" s="50"/>
      <c r="J64" s="50"/>
      <c r="K64" s="46" t="s">
        <v>67</v>
      </c>
      <c r="L64" s="43">
        <f>0.4*117</f>
        <v>46.800000000000004</v>
      </c>
      <c r="M64" s="43">
        <f>0.4*0.52</f>
        <v>0.20800000000000002</v>
      </c>
      <c r="N64" s="43"/>
      <c r="O64" s="42"/>
      <c r="P64" s="42"/>
      <c r="Q64" s="42">
        <f>M64*E65*H65*I65*K63</f>
        <v>0.26</v>
      </c>
      <c r="R64" s="44"/>
      <c r="T64" s="45">
        <f>Q64</f>
        <v>0.26</v>
      </c>
    </row>
    <row r="65" spans="1:21" ht="12.75">
      <c r="A65" s="39"/>
      <c r="B65" s="40"/>
      <c r="C65" s="43" t="s">
        <v>36</v>
      </c>
      <c r="D65" s="48">
        <v>1</v>
      </c>
      <c r="E65" s="48">
        <v>1</v>
      </c>
      <c r="F65" s="48">
        <v>1</v>
      </c>
      <c r="G65" s="48">
        <v>1.15</v>
      </c>
      <c r="H65" s="48">
        <v>1.25</v>
      </c>
      <c r="I65" s="48">
        <v>1</v>
      </c>
      <c r="J65" s="48">
        <v>0.94</v>
      </c>
      <c r="K65" s="46"/>
      <c r="L65" s="49">
        <v>1.152</v>
      </c>
      <c r="M65" s="43"/>
      <c r="N65" s="43"/>
      <c r="O65" s="42"/>
      <c r="P65" s="42"/>
      <c r="Q65" s="42"/>
      <c r="R65" s="44"/>
      <c r="U65">
        <f>(P63+Q64)*L65*J65</f>
        <v>58.562150399999986</v>
      </c>
    </row>
    <row r="66" spans="1:22" ht="12.75">
      <c r="A66" s="39"/>
      <c r="B66" s="40"/>
      <c r="C66" s="43" t="s">
        <v>37</v>
      </c>
      <c r="D66" s="41"/>
      <c r="E66" s="41"/>
      <c r="F66" s="41"/>
      <c r="G66" s="41"/>
      <c r="H66" s="41"/>
      <c r="I66" s="41"/>
      <c r="J66" s="47"/>
      <c r="K66" s="46"/>
      <c r="L66" s="49">
        <v>0.7055</v>
      </c>
      <c r="M66" s="43"/>
      <c r="N66" s="43"/>
      <c r="O66" s="42"/>
      <c r="P66" s="42"/>
      <c r="Q66" s="42"/>
      <c r="R66" s="44"/>
      <c r="V66">
        <f>(P63+Q64)*L66</f>
        <v>38.153439999999996</v>
      </c>
    </row>
    <row r="67" spans="1:19" ht="12.75">
      <c r="A67" s="39">
        <v>12</v>
      </c>
      <c r="B67" s="40" t="s">
        <v>64</v>
      </c>
      <c r="C67" s="41" t="s">
        <v>68</v>
      </c>
      <c r="D67" s="43"/>
      <c r="E67" s="43"/>
      <c r="F67" s="43"/>
      <c r="G67" s="43"/>
      <c r="H67" s="43"/>
      <c r="I67" s="43"/>
      <c r="J67" s="43"/>
      <c r="K67" s="40">
        <v>1</v>
      </c>
      <c r="L67" s="42">
        <v>158.55</v>
      </c>
      <c r="M67" s="43">
        <v>24.96</v>
      </c>
      <c r="N67" s="43">
        <v>16.59</v>
      </c>
      <c r="O67" s="42">
        <f>P67+Q67+R67</f>
        <v>182.34</v>
      </c>
      <c r="P67" s="42">
        <f>L68*D69*G69*I69*K67</f>
        <v>134.54999999999998</v>
      </c>
      <c r="Q67" s="42">
        <f>M67*E69*H69*I69*K67</f>
        <v>31.200000000000003</v>
      </c>
      <c r="R67" s="44">
        <f>N67*F69*K67</f>
        <v>16.59</v>
      </c>
      <c r="S67" s="45"/>
    </row>
    <row r="68" spans="1:20" ht="13.5" customHeight="1">
      <c r="A68" s="39"/>
      <c r="B68" s="43" t="s">
        <v>58</v>
      </c>
      <c r="C68" s="46"/>
      <c r="D68" s="50"/>
      <c r="E68" s="50"/>
      <c r="F68" s="50"/>
      <c r="G68" s="50"/>
      <c r="H68" s="50"/>
      <c r="I68" s="50"/>
      <c r="J68" s="50"/>
      <c r="K68" s="46" t="s">
        <v>67</v>
      </c>
      <c r="L68" s="43">
        <v>117</v>
      </c>
      <c r="M68" s="43">
        <v>0.52</v>
      </c>
      <c r="N68" s="43"/>
      <c r="O68" s="42"/>
      <c r="P68" s="42"/>
      <c r="Q68" s="42">
        <f>M68*E69*H69*I69*K67</f>
        <v>0.65</v>
      </c>
      <c r="R68" s="44"/>
      <c r="T68" s="45">
        <f>Q68</f>
        <v>0.65</v>
      </c>
    </row>
    <row r="69" spans="1:21" ht="12.75">
      <c r="A69" s="39"/>
      <c r="B69" s="40"/>
      <c r="C69" s="43" t="s">
        <v>36</v>
      </c>
      <c r="D69" s="48">
        <v>1</v>
      </c>
      <c r="E69" s="48">
        <v>1</v>
      </c>
      <c r="F69" s="48">
        <v>1</v>
      </c>
      <c r="G69" s="48">
        <v>1.15</v>
      </c>
      <c r="H69" s="48">
        <v>1.25</v>
      </c>
      <c r="I69" s="48">
        <v>1</v>
      </c>
      <c r="J69" s="48">
        <v>0.94</v>
      </c>
      <c r="K69" s="46"/>
      <c r="L69" s="49">
        <v>1.152</v>
      </c>
      <c r="M69" s="43"/>
      <c r="N69" s="43"/>
      <c r="O69" s="42"/>
      <c r="P69" s="42"/>
      <c r="Q69" s="42"/>
      <c r="R69" s="44"/>
      <c r="U69">
        <f>(P67+Q68)*L69*J69</f>
        <v>146.405376</v>
      </c>
    </row>
    <row r="70" spans="1:22" ht="12.75">
      <c r="A70" s="39"/>
      <c r="B70" s="40"/>
      <c r="C70" s="43" t="s">
        <v>37</v>
      </c>
      <c r="D70" s="41"/>
      <c r="E70" s="41"/>
      <c r="F70" s="41"/>
      <c r="G70" s="41"/>
      <c r="H70" s="41"/>
      <c r="I70" s="41"/>
      <c r="J70" s="47"/>
      <c r="K70" s="46"/>
      <c r="L70" s="49">
        <v>0.7055</v>
      </c>
      <c r="M70" s="43"/>
      <c r="N70" s="43"/>
      <c r="O70" s="42"/>
      <c r="P70" s="42"/>
      <c r="Q70" s="42"/>
      <c r="R70" s="44"/>
      <c r="V70">
        <f>(P67+Q68)*L70</f>
        <v>95.38359999999999</v>
      </c>
    </row>
    <row r="71" spans="1:19" ht="12.75">
      <c r="A71" s="39">
        <v>12.1</v>
      </c>
      <c r="B71" s="40"/>
      <c r="C71" s="51" t="s">
        <v>69</v>
      </c>
      <c r="D71" s="41"/>
      <c r="E71" s="41"/>
      <c r="F71" s="41"/>
      <c r="G71" s="41"/>
      <c r="H71" s="41"/>
      <c r="I71" s="41"/>
      <c r="J71" s="47"/>
      <c r="K71" s="58">
        <v>1</v>
      </c>
      <c r="L71" s="42">
        <f>N71</f>
        <v>733.6343115124154</v>
      </c>
      <c r="M71" s="43"/>
      <c r="N71" s="42">
        <f>3250/4.43</f>
        <v>733.6343115124154</v>
      </c>
      <c r="O71" s="42">
        <f>L71*K71</f>
        <v>733.6343115124154</v>
      </c>
      <c r="P71" s="42"/>
      <c r="Q71" s="42"/>
      <c r="R71" s="44">
        <f>N71*K71</f>
        <v>733.6343115124154</v>
      </c>
      <c r="S71" s="45">
        <f>R71</f>
        <v>733.6343115124154</v>
      </c>
    </row>
    <row r="72" spans="1:18" ht="12.75">
      <c r="A72" s="39"/>
      <c r="B72" s="40"/>
      <c r="C72" s="43"/>
      <c r="D72" s="41"/>
      <c r="E72" s="41"/>
      <c r="F72" s="41"/>
      <c r="G72" s="41"/>
      <c r="H72" s="41"/>
      <c r="I72" s="41"/>
      <c r="J72" s="47"/>
      <c r="K72" s="46" t="s">
        <v>67</v>
      </c>
      <c r="L72" s="49"/>
      <c r="M72" s="43"/>
      <c r="N72" s="43"/>
      <c r="O72" s="42"/>
      <c r="P72" s="42"/>
      <c r="Q72" s="42"/>
      <c r="R72" s="44"/>
    </row>
    <row r="73" spans="1:18" ht="12.75">
      <c r="A73" s="39"/>
      <c r="B73" s="40"/>
      <c r="C73" s="59" t="s">
        <v>70</v>
      </c>
      <c r="D73" s="41"/>
      <c r="E73" s="41"/>
      <c r="F73" s="41"/>
      <c r="G73" s="41"/>
      <c r="H73" s="41"/>
      <c r="I73" s="41"/>
      <c r="J73" s="47"/>
      <c r="K73" s="46"/>
      <c r="L73" s="49"/>
      <c r="M73" s="43"/>
      <c r="N73" s="43"/>
      <c r="O73" s="42"/>
      <c r="P73" s="42"/>
      <c r="Q73" s="42"/>
      <c r="R73" s="44"/>
    </row>
    <row r="74" spans="1:19" ht="25.5">
      <c r="A74" s="39">
        <v>1</v>
      </c>
      <c r="B74" s="40" t="s">
        <v>71</v>
      </c>
      <c r="C74" s="41" t="s">
        <v>72</v>
      </c>
      <c r="D74" s="41"/>
      <c r="E74" s="41"/>
      <c r="F74" s="41"/>
      <c r="G74" s="41"/>
      <c r="H74" s="41"/>
      <c r="I74" s="41"/>
      <c r="J74" s="41"/>
      <c r="K74" s="56">
        <v>2.03</v>
      </c>
      <c r="L74" s="42">
        <v>674.32</v>
      </c>
      <c r="M74" s="43">
        <v>203.26</v>
      </c>
      <c r="N74" s="43">
        <v>0</v>
      </c>
      <c r="O74" s="42">
        <f>P74+Q74+R74</f>
        <v>1368.8695999999998</v>
      </c>
      <c r="P74" s="42">
        <f>L75*D76*G76*I76*K74</f>
        <v>956.2517999999999</v>
      </c>
      <c r="Q74" s="42">
        <f>M74*E76*H76*I76*K74</f>
        <v>412.61779999999993</v>
      </c>
      <c r="R74" s="44">
        <f>N74*F76*K74</f>
        <v>0</v>
      </c>
      <c r="S74" s="45"/>
    </row>
    <row r="75" spans="1:20" ht="12.75">
      <c r="A75" s="39" t="s">
        <v>34</v>
      </c>
      <c r="B75" s="46"/>
      <c r="C75" s="41"/>
      <c r="D75" s="47"/>
      <c r="E75" s="47"/>
      <c r="F75" s="47"/>
      <c r="G75" s="47"/>
      <c r="H75" s="47"/>
      <c r="I75" s="47"/>
      <c r="J75" s="47"/>
      <c r="K75" s="46" t="s">
        <v>35</v>
      </c>
      <c r="L75" s="42">
        <v>471.06</v>
      </c>
      <c r="M75" s="43">
        <v>17.77</v>
      </c>
      <c r="N75" s="43"/>
      <c r="O75" s="42"/>
      <c r="P75" s="42"/>
      <c r="Q75" s="42">
        <f>M75*D76*H76*I76*K74</f>
        <v>36.0731</v>
      </c>
      <c r="R75" s="44"/>
      <c r="T75" s="45">
        <f>Q75</f>
        <v>36.0731</v>
      </c>
    </row>
    <row r="76" spans="1:21" ht="12.75">
      <c r="A76" s="39"/>
      <c r="B76" s="40"/>
      <c r="C76" s="43" t="s">
        <v>36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>
        <v>1</v>
      </c>
      <c r="J76" s="48">
        <v>0.94</v>
      </c>
      <c r="K76" s="46"/>
      <c r="L76" s="49">
        <v>0.79</v>
      </c>
      <c r="M76" s="43"/>
      <c r="N76" s="43"/>
      <c r="O76" s="42"/>
      <c r="P76" s="42"/>
      <c r="Q76" s="42"/>
      <c r="R76" s="44"/>
      <c r="U76">
        <f>(P74+Q75)*L76*J76</f>
        <v>736.90047074</v>
      </c>
    </row>
    <row r="77" spans="1:22" ht="12.75">
      <c r="A77" s="39"/>
      <c r="B77" s="40"/>
      <c r="C77" s="43" t="s">
        <v>37</v>
      </c>
      <c r="D77" s="43"/>
      <c r="E77" s="43"/>
      <c r="F77" s="43"/>
      <c r="G77" s="43"/>
      <c r="H77" s="43"/>
      <c r="I77" s="43"/>
      <c r="J77" s="50"/>
      <c r="K77" s="46"/>
      <c r="L77" s="49">
        <v>0.5</v>
      </c>
      <c r="M77" s="43"/>
      <c r="N77" s="43"/>
      <c r="O77" s="42"/>
      <c r="P77" s="42"/>
      <c r="Q77" s="42"/>
      <c r="R77" s="44"/>
      <c r="V77">
        <f>(P74+Q75)*L77</f>
        <v>496.1624499999999</v>
      </c>
    </row>
    <row r="78" spans="1:19" ht="25.5">
      <c r="A78" s="39">
        <v>2</v>
      </c>
      <c r="B78" s="40" t="s">
        <v>73</v>
      </c>
      <c r="C78" s="41" t="s">
        <v>74</v>
      </c>
      <c r="D78" s="41"/>
      <c r="E78" s="41"/>
      <c r="F78" s="41"/>
      <c r="G78" s="41"/>
      <c r="H78" s="41"/>
      <c r="I78" s="41"/>
      <c r="J78" s="41"/>
      <c r="K78" s="40">
        <v>0.439</v>
      </c>
      <c r="L78" s="42">
        <v>529.49</v>
      </c>
      <c r="M78" s="43">
        <v>49.48</v>
      </c>
      <c r="N78" s="43">
        <v>0</v>
      </c>
      <c r="O78" s="42">
        <f>P78+Q78+R78</f>
        <v>232.44611</v>
      </c>
      <c r="P78" s="42">
        <f>L79*D80*G80*I80*K78</f>
        <v>210.72439</v>
      </c>
      <c r="Q78" s="42">
        <f>M78*E80*H80*I80*K78</f>
        <v>21.721719999999998</v>
      </c>
      <c r="R78" s="44">
        <f>N78*F80*K78</f>
        <v>0</v>
      </c>
      <c r="S78" s="45"/>
    </row>
    <row r="79" spans="1:20" ht="12.75">
      <c r="A79" s="39" t="s">
        <v>34</v>
      </c>
      <c r="B79" s="46"/>
      <c r="C79" s="41"/>
      <c r="D79" s="47"/>
      <c r="E79" s="47"/>
      <c r="F79" s="47"/>
      <c r="G79" s="47"/>
      <c r="H79" s="47"/>
      <c r="I79" s="47"/>
      <c r="J79" s="47"/>
      <c r="K79" s="46" t="s">
        <v>35</v>
      </c>
      <c r="L79" s="42">
        <v>480.01</v>
      </c>
      <c r="M79" s="43">
        <v>12.86</v>
      </c>
      <c r="N79" s="43"/>
      <c r="O79" s="42"/>
      <c r="P79" s="42"/>
      <c r="Q79" s="42">
        <f>M79*D80*H80*I80*K78</f>
        <v>5.64554</v>
      </c>
      <c r="R79" s="44"/>
      <c r="T79" s="45">
        <f>Q79</f>
        <v>5.64554</v>
      </c>
    </row>
    <row r="80" spans="1:21" ht="12.75">
      <c r="A80" s="39"/>
      <c r="B80" s="40"/>
      <c r="C80" s="43" t="s">
        <v>36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0.94</v>
      </c>
      <c r="K80" s="46"/>
      <c r="L80" s="49">
        <v>0.8</v>
      </c>
      <c r="M80" s="43"/>
      <c r="N80" s="43"/>
      <c r="O80" s="42"/>
      <c r="P80" s="42"/>
      <c r="Q80" s="42"/>
      <c r="R80" s="44"/>
      <c r="U80">
        <f>(P78+Q79)*L80*J80</f>
        <v>162.71018736000002</v>
      </c>
    </row>
    <row r="81" spans="1:22" ht="12.75">
      <c r="A81" s="39"/>
      <c r="B81" s="40"/>
      <c r="C81" s="43" t="s">
        <v>37</v>
      </c>
      <c r="D81" s="43"/>
      <c r="E81" s="43"/>
      <c r="F81" s="43"/>
      <c r="G81" s="43"/>
      <c r="H81" s="43"/>
      <c r="I81" s="43"/>
      <c r="J81" s="50"/>
      <c r="K81" s="46"/>
      <c r="L81" s="49">
        <v>0.68</v>
      </c>
      <c r="M81" s="43"/>
      <c r="N81" s="43"/>
      <c r="O81" s="42"/>
      <c r="P81" s="42"/>
      <c r="Q81" s="42"/>
      <c r="R81" s="44"/>
      <c r="V81">
        <f>(P78+Q79)*L81</f>
        <v>147.1315524</v>
      </c>
    </row>
    <row r="82" spans="1:19" ht="12.75">
      <c r="A82" s="39">
        <v>3</v>
      </c>
      <c r="B82" s="40" t="s">
        <v>75</v>
      </c>
      <c r="C82" s="41" t="s">
        <v>76</v>
      </c>
      <c r="D82" s="43"/>
      <c r="E82" s="43"/>
      <c r="F82" s="43"/>
      <c r="G82" s="43"/>
      <c r="H82" s="43"/>
      <c r="I82" s="43"/>
      <c r="J82" s="43"/>
      <c r="K82" s="57">
        <f>K74+1.1443/2</f>
        <v>2.60215</v>
      </c>
      <c r="L82" s="42">
        <v>12047.02</v>
      </c>
      <c r="M82" s="43">
        <v>32.52</v>
      </c>
      <c r="N82" s="43">
        <v>10259.81</v>
      </c>
      <c r="O82" s="42">
        <f>P82+Q82+R82</f>
        <v>33125.531353729995</v>
      </c>
      <c r="P82" s="42">
        <f>L83*D84*G84*I84*K82</f>
        <v>6301.033885229999</v>
      </c>
      <c r="Q82" s="42">
        <f>M82*E84*H84*I84*K82</f>
        <v>126.93287700000002</v>
      </c>
      <c r="R82" s="44">
        <f>N82*F84*K82</f>
        <v>26697.5645915</v>
      </c>
      <c r="S82" s="45"/>
    </row>
    <row r="83" spans="1:20" ht="13.5" customHeight="1">
      <c r="A83" s="39"/>
      <c r="B83" s="43" t="s">
        <v>58</v>
      </c>
      <c r="C83" s="46"/>
      <c r="D83" s="50"/>
      <c r="E83" s="50"/>
      <c r="F83" s="50"/>
      <c r="G83" s="50"/>
      <c r="H83" s="50"/>
      <c r="I83" s="50"/>
      <c r="J83" s="50"/>
      <c r="K83" s="46" t="s">
        <v>35</v>
      </c>
      <c r="L83" s="43">
        <v>1754.69</v>
      </c>
      <c r="M83" s="43">
        <v>7.24</v>
      </c>
      <c r="N83" s="43"/>
      <c r="O83" s="42"/>
      <c r="P83" s="42"/>
      <c r="Q83" s="42">
        <f>M83*E84*H84*I84*K82</f>
        <v>28.259349000000004</v>
      </c>
      <c r="R83" s="44"/>
      <c r="T83" s="45">
        <f>Q83</f>
        <v>28.259349000000004</v>
      </c>
    </row>
    <row r="84" spans="1:21" ht="12.75">
      <c r="A84" s="39"/>
      <c r="B84" s="40"/>
      <c r="C84" s="43" t="s">
        <v>36</v>
      </c>
      <c r="D84" s="48">
        <v>1</v>
      </c>
      <c r="E84" s="48">
        <v>1</v>
      </c>
      <c r="F84" s="48">
        <v>1</v>
      </c>
      <c r="G84" s="48">
        <v>1.15</v>
      </c>
      <c r="H84" s="48">
        <v>1.25</v>
      </c>
      <c r="I84" s="48">
        <v>1.2</v>
      </c>
      <c r="J84" s="48">
        <v>0.94</v>
      </c>
      <c r="K84" s="46"/>
      <c r="L84" s="49">
        <v>0.945</v>
      </c>
      <c r="M84" s="43"/>
      <c r="N84" s="43"/>
      <c r="O84" s="42"/>
      <c r="P84" s="42"/>
      <c r="Q84" s="42"/>
      <c r="R84" s="44"/>
      <c r="U84">
        <f>(P82+Q83)*L84*J84</f>
        <v>5622.311179966508</v>
      </c>
    </row>
    <row r="85" spans="1:22" ht="12.75">
      <c r="A85" s="39"/>
      <c r="B85" s="40"/>
      <c r="C85" s="43" t="s">
        <v>37</v>
      </c>
      <c r="D85" s="41"/>
      <c r="E85" s="41"/>
      <c r="F85" s="41"/>
      <c r="G85" s="41"/>
      <c r="H85" s="41"/>
      <c r="I85" s="41"/>
      <c r="J85" s="47"/>
      <c r="K85" s="46"/>
      <c r="L85" s="49">
        <v>0.4675</v>
      </c>
      <c r="M85" s="43"/>
      <c r="N85" s="43"/>
      <c r="O85" s="42"/>
      <c r="P85" s="42"/>
      <c r="Q85" s="42"/>
      <c r="R85" s="44"/>
      <c r="V85">
        <f>(P82+Q83)*L85</f>
        <v>2958.9445870025247</v>
      </c>
    </row>
    <row r="86" spans="1:19" ht="12.75">
      <c r="A86" s="39">
        <v>4</v>
      </c>
      <c r="B86" s="40" t="s">
        <v>51</v>
      </c>
      <c r="C86" s="41" t="s">
        <v>52</v>
      </c>
      <c r="D86" s="41"/>
      <c r="E86" s="41"/>
      <c r="F86" s="41"/>
      <c r="G86" s="41"/>
      <c r="H86" s="41"/>
      <c r="I86" s="41"/>
      <c r="J86" s="41"/>
      <c r="K86" s="56">
        <f>1.583-1.1443</f>
        <v>0.43869999999999987</v>
      </c>
      <c r="L86" s="42">
        <v>228.21</v>
      </c>
      <c r="M86" s="43">
        <v>8.24</v>
      </c>
      <c r="N86" s="43">
        <v>77.54</v>
      </c>
      <c r="O86" s="42">
        <f>P86+Q86+R86</f>
        <v>100.11572699999998</v>
      </c>
      <c r="P86" s="42">
        <f>L87*D88*G88*I88*K86</f>
        <v>62.48404099999998</v>
      </c>
      <c r="Q86" s="42">
        <f>M86*E88*H88*I88*K86</f>
        <v>3.614887999999999</v>
      </c>
      <c r="R86" s="44">
        <f>N86*F88*K86</f>
        <v>34.016797999999994</v>
      </c>
      <c r="S86" s="45"/>
    </row>
    <row r="87" spans="1:20" ht="12.75">
      <c r="A87" s="39" t="s">
        <v>34</v>
      </c>
      <c r="B87" s="46"/>
      <c r="C87" s="41"/>
      <c r="D87" s="47"/>
      <c r="E87" s="47"/>
      <c r="F87" s="47"/>
      <c r="G87" s="47"/>
      <c r="H87" s="47"/>
      <c r="I87" s="47"/>
      <c r="J87" s="47"/>
      <c r="K87" s="46" t="s">
        <v>35</v>
      </c>
      <c r="L87" s="42">
        <v>142.43</v>
      </c>
      <c r="M87" s="43">
        <v>1.34</v>
      </c>
      <c r="N87" s="43"/>
      <c r="O87" s="42"/>
      <c r="P87" s="42"/>
      <c r="Q87" s="42">
        <f>M87*D88*H88*I88*K86</f>
        <v>0.5878579999999999</v>
      </c>
      <c r="R87" s="44"/>
      <c r="T87" s="45">
        <f>Q87</f>
        <v>0.5878579999999999</v>
      </c>
    </row>
    <row r="88" spans="1:21" ht="12.75">
      <c r="A88" s="39"/>
      <c r="B88" s="40"/>
      <c r="C88" s="43" t="s">
        <v>36</v>
      </c>
      <c r="D88" s="48">
        <v>1</v>
      </c>
      <c r="E88" s="48">
        <v>1</v>
      </c>
      <c r="F88" s="48">
        <v>1</v>
      </c>
      <c r="G88" s="48">
        <v>1</v>
      </c>
      <c r="H88" s="48">
        <v>1</v>
      </c>
      <c r="I88" s="48">
        <v>1</v>
      </c>
      <c r="J88" s="48">
        <v>0.94</v>
      </c>
      <c r="K88" s="46"/>
      <c r="L88" s="49">
        <v>0.8</v>
      </c>
      <c r="M88" s="43"/>
      <c r="N88" s="43"/>
      <c r="O88" s="42"/>
      <c r="P88" s="42"/>
      <c r="Q88" s="42"/>
      <c r="R88" s="44"/>
      <c r="U88">
        <f>(P86+Q87)*L88*J88</f>
        <v>47.43006804799998</v>
      </c>
    </row>
    <row r="89" spans="1:22" ht="12.75">
      <c r="A89" s="39"/>
      <c r="B89" s="40"/>
      <c r="C89" s="43" t="s">
        <v>37</v>
      </c>
      <c r="D89" s="43"/>
      <c r="E89" s="43"/>
      <c r="F89" s="43"/>
      <c r="G89" s="43"/>
      <c r="H89" s="43"/>
      <c r="I89" s="43"/>
      <c r="J89" s="50"/>
      <c r="K89" s="46"/>
      <c r="L89" s="49">
        <v>0.5</v>
      </c>
      <c r="M89" s="43"/>
      <c r="N89" s="43"/>
      <c r="O89" s="42"/>
      <c r="P89" s="42"/>
      <c r="Q89" s="42"/>
      <c r="R89" s="44"/>
      <c r="V89">
        <f>(P86+Q87)*L89</f>
        <v>31.53594949999999</v>
      </c>
    </row>
    <row r="90" spans="1:19" ht="25.5">
      <c r="A90" s="39">
        <v>5</v>
      </c>
      <c r="B90" s="40" t="s">
        <v>77</v>
      </c>
      <c r="C90" s="41" t="s">
        <v>78</v>
      </c>
      <c r="D90" s="43"/>
      <c r="E90" s="43"/>
      <c r="F90" s="43"/>
      <c r="G90" s="43"/>
      <c r="H90" s="43"/>
      <c r="I90" s="43"/>
      <c r="J90" s="43"/>
      <c r="K90" s="60">
        <f>K78</f>
        <v>0.439</v>
      </c>
      <c r="L90" s="42">
        <v>12016</v>
      </c>
      <c r="M90" s="43">
        <v>139.68</v>
      </c>
      <c r="N90" s="43">
        <v>11031.96</v>
      </c>
      <c r="O90" s="42">
        <f>P90+Q90+R90</f>
        <v>5446.594418999999</v>
      </c>
      <c r="P90" s="42">
        <f>L91*D92*G92*I92*K90</f>
        <v>511.58469899999994</v>
      </c>
      <c r="Q90" s="42">
        <f>M90*E92*H92*I92*K90</f>
        <v>91.97928</v>
      </c>
      <c r="R90" s="44">
        <f>N90*F92*K90</f>
        <v>4843.0304399999995</v>
      </c>
      <c r="S90" s="45"/>
    </row>
    <row r="91" spans="1:20" ht="13.5" customHeight="1">
      <c r="A91" s="39"/>
      <c r="B91" s="43" t="s">
        <v>58</v>
      </c>
      <c r="C91" s="46"/>
      <c r="D91" s="50"/>
      <c r="E91" s="50"/>
      <c r="F91" s="50"/>
      <c r="G91" s="50"/>
      <c r="H91" s="50"/>
      <c r="I91" s="50"/>
      <c r="J91" s="50"/>
      <c r="K91" s="46" t="s">
        <v>35</v>
      </c>
      <c r="L91" s="43">
        <v>844.45</v>
      </c>
      <c r="M91" s="43">
        <v>22.24</v>
      </c>
      <c r="N91" s="43"/>
      <c r="O91" s="42"/>
      <c r="P91" s="42"/>
      <c r="Q91" s="42">
        <f>M91*E92*H92*I92*K90</f>
        <v>14.645039999999996</v>
      </c>
      <c r="R91" s="44"/>
      <c r="T91" s="45">
        <f>Q91</f>
        <v>14.645039999999996</v>
      </c>
    </row>
    <row r="92" spans="1:21" ht="12.75">
      <c r="A92" s="39"/>
      <c r="B92" s="40"/>
      <c r="C92" s="43" t="s">
        <v>36</v>
      </c>
      <c r="D92" s="48">
        <v>1</v>
      </c>
      <c r="E92" s="48">
        <v>1</v>
      </c>
      <c r="F92" s="48">
        <v>1</v>
      </c>
      <c r="G92" s="48">
        <v>1.15</v>
      </c>
      <c r="H92" s="48">
        <v>1.25</v>
      </c>
      <c r="I92" s="48">
        <v>1.2</v>
      </c>
      <c r="J92" s="48">
        <v>0.94</v>
      </c>
      <c r="K92" s="46"/>
      <c r="L92" s="49">
        <v>1.107</v>
      </c>
      <c r="M92" s="43"/>
      <c r="N92" s="43"/>
      <c r="O92" s="42"/>
      <c r="P92" s="42"/>
      <c r="Q92" s="42"/>
      <c r="R92" s="44"/>
      <c r="U92">
        <f>(P90+Q91)*L92*J92</f>
        <v>547.58414180862</v>
      </c>
    </row>
    <row r="93" spans="1:22" ht="12.75">
      <c r="A93" s="39"/>
      <c r="B93" s="40"/>
      <c r="C93" s="43" t="s">
        <v>37</v>
      </c>
      <c r="D93" s="41"/>
      <c r="E93" s="41"/>
      <c r="F93" s="41"/>
      <c r="G93" s="41"/>
      <c r="H93" s="41"/>
      <c r="I93" s="41"/>
      <c r="J93" s="47"/>
      <c r="K93" s="46"/>
      <c r="L93" s="49">
        <v>0.6375</v>
      </c>
      <c r="M93" s="43"/>
      <c r="N93" s="43"/>
      <c r="O93" s="42"/>
      <c r="P93" s="42"/>
      <c r="Q93" s="42"/>
      <c r="R93" s="44"/>
      <c r="V93">
        <f>(P90+Q91)*L93</f>
        <v>335.4714586125</v>
      </c>
    </row>
    <row r="94" spans="1:19" ht="25.5">
      <c r="A94" s="39">
        <v>6</v>
      </c>
      <c r="B94" s="40" t="s">
        <v>32</v>
      </c>
      <c r="C94" s="41" t="s">
        <v>33</v>
      </c>
      <c r="D94" s="41"/>
      <c r="E94" s="41"/>
      <c r="F94" s="41"/>
      <c r="G94" s="41"/>
      <c r="H94" s="41"/>
      <c r="I94" s="41"/>
      <c r="J94" s="41"/>
      <c r="K94" s="61">
        <f>13*2.05*0.7*2.3/100</f>
        <v>0.4290649999999999</v>
      </c>
      <c r="L94" s="42">
        <v>1135.71</v>
      </c>
      <c r="M94" s="43">
        <v>9.2</v>
      </c>
      <c r="N94" s="43">
        <v>460.02</v>
      </c>
      <c r="O94" s="42">
        <f>P94+Q94+R94</f>
        <v>487.2934111499999</v>
      </c>
      <c r="P94" s="42">
        <f>L95*D96*G96*I96*K94</f>
        <v>285.96753184999994</v>
      </c>
      <c r="Q94" s="42">
        <f>M94*E96*H96*I96*K94</f>
        <v>3.947397999999999</v>
      </c>
      <c r="R94" s="44">
        <f>N94*F96*K94</f>
        <v>197.37848129999995</v>
      </c>
      <c r="S94" s="45"/>
    </row>
    <row r="95" spans="1:20" ht="12.75">
      <c r="A95" s="39" t="s">
        <v>34</v>
      </c>
      <c r="B95" s="46"/>
      <c r="C95" s="41"/>
      <c r="D95" s="47"/>
      <c r="E95" s="47"/>
      <c r="F95" s="47"/>
      <c r="G95" s="47"/>
      <c r="H95" s="47"/>
      <c r="I95" s="47"/>
      <c r="J95" s="47"/>
      <c r="K95" s="46" t="s">
        <v>35</v>
      </c>
      <c r="L95" s="42">
        <v>666.49</v>
      </c>
      <c r="M95" s="43">
        <v>1.43</v>
      </c>
      <c r="N95" s="43"/>
      <c r="O95" s="42"/>
      <c r="P95" s="42"/>
      <c r="Q95" s="42">
        <f>M95*D96*H96*I96*K94</f>
        <v>0.6135629499999998</v>
      </c>
      <c r="R95" s="44"/>
      <c r="T95" s="45">
        <f>Q95</f>
        <v>0.6135629499999998</v>
      </c>
    </row>
    <row r="96" spans="1:21" ht="12.75">
      <c r="A96" s="62"/>
      <c r="B96" s="63"/>
      <c r="C96" s="43" t="s">
        <v>36</v>
      </c>
      <c r="D96" s="48">
        <v>1</v>
      </c>
      <c r="E96" s="48">
        <v>1</v>
      </c>
      <c r="F96" s="48">
        <v>1</v>
      </c>
      <c r="G96" s="48">
        <v>1</v>
      </c>
      <c r="H96" s="48">
        <v>1</v>
      </c>
      <c r="I96" s="48">
        <v>1</v>
      </c>
      <c r="J96" s="48">
        <v>0.94</v>
      </c>
      <c r="K96" s="46"/>
      <c r="L96" s="49">
        <v>0.8</v>
      </c>
      <c r="M96" s="43"/>
      <c r="N96" s="43"/>
      <c r="O96" s="42"/>
      <c r="P96" s="42"/>
      <c r="Q96" s="42"/>
      <c r="R96" s="44"/>
      <c r="U96">
        <f>(P94+Q95)*L96*J96</f>
        <v>215.50898328959997</v>
      </c>
    </row>
    <row r="97" spans="1:22" ht="12.75">
      <c r="A97" s="64"/>
      <c r="B97" s="65"/>
      <c r="C97" s="66" t="s">
        <v>37</v>
      </c>
      <c r="D97" s="66"/>
      <c r="E97" s="66"/>
      <c r="F97" s="66"/>
      <c r="G97" s="66"/>
      <c r="H97" s="66"/>
      <c r="I97" s="66"/>
      <c r="J97" s="67"/>
      <c r="K97" s="68"/>
      <c r="L97" s="69">
        <v>0.5</v>
      </c>
      <c r="M97" s="66"/>
      <c r="N97" s="66"/>
      <c r="O97" s="70"/>
      <c r="P97" s="70"/>
      <c r="Q97" s="70"/>
      <c r="R97" s="71"/>
      <c r="V97">
        <f>(P94+Q95)*L97</f>
        <v>143.29054739999998</v>
      </c>
    </row>
    <row r="98" spans="1:19" ht="12.75">
      <c r="A98" s="39">
        <v>6.1</v>
      </c>
      <c r="B98" s="40"/>
      <c r="C98" s="51" t="s">
        <v>38</v>
      </c>
      <c r="D98" s="43"/>
      <c r="E98" s="43"/>
      <c r="F98" s="43"/>
      <c r="G98" s="43"/>
      <c r="H98" s="43"/>
      <c r="I98" s="43"/>
      <c r="J98" s="50"/>
      <c r="K98" s="52">
        <f>0.0226*K94</f>
        <v>0.009696868999999997</v>
      </c>
      <c r="L98" s="53">
        <f>N98</f>
        <v>21715.575620767497</v>
      </c>
      <c r="M98" s="43"/>
      <c r="N98" s="53">
        <v>21715.575620767497</v>
      </c>
      <c r="P98" s="42">
        <f>L98*K98</f>
        <v>210.57309205417602</v>
      </c>
      <c r="Q98" s="42"/>
      <c r="R98" s="44">
        <f>N98*K98</f>
        <v>210.57309205417602</v>
      </c>
      <c r="S98" s="45">
        <f>R98</f>
        <v>210.57309205417602</v>
      </c>
    </row>
    <row r="99" spans="1:18" ht="13.5" thickBot="1">
      <c r="A99" s="39"/>
      <c r="B99" s="40"/>
      <c r="C99" s="43"/>
      <c r="D99" s="43"/>
      <c r="E99" s="43"/>
      <c r="F99" s="43"/>
      <c r="G99" s="43"/>
      <c r="H99" s="43"/>
      <c r="I99" s="43"/>
      <c r="J99" s="50"/>
      <c r="K99" s="46" t="s">
        <v>39</v>
      </c>
      <c r="L99" s="49"/>
      <c r="M99" s="43"/>
      <c r="N99" s="43"/>
      <c r="O99" s="42"/>
      <c r="P99" s="42"/>
      <c r="Q99" s="42"/>
      <c r="R99" s="44"/>
    </row>
    <row r="100" spans="1:18" ht="13.5" thickBot="1">
      <c r="A100" s="72"/>
      <c r="B100" s="73"/>
      <c r="C100" s="33" t="s">
        <v>79</v>
      </c>
      <c r="D100" s="74"/>
      <c r="E100" s="74"/>
      <c r="F100" s="74"/>
      <c r="G100" s="74"/>
      <c r="H100" s="74"/>
      <c r="I100" s="74"/>
      <c r="J100" s="75"/>
      <c r="K100" s="76"/>
      <c r="L100" s="77"/>
      <c r="M100" s="74"/>
      <c r="N100" s="74"/>
      <c r="O100" s="78"/>
      <c r="P100" s="78"/>
      <c r="Q100" s="78"/>
      <c r="R100" s="79"/>
    </row>
    <row r="101" spans="1:19" ht="12.75">
      <c r="A101" s="80">
        <v>1</v>
      </c>
      <c r="B101" s="81" t="s">
        <v>80</v>
      </c>
      <c r="C101" s="82" t="s">
        <v>81</v>
      </c>
      <c r="D101" s="82"/>
      <c r="E101" s="82"/>
      <c r="F101" s="82"/>
      <c r="G101" s="82"/>
      <c r="H101" s="82"/>
      <c r="I101" s="82"/>
      <c r="J101" s="82"/>
      <c r="K101" s="83">
        <v>0.13</v>
      </c>
      <c r="L101" s="84">
        <v>340.56</v>
      </c>
      <c r="M101" s="85">
        <v>42.95</v>
      </c>
      <c r="N101" s="85">
        <v>0</v>
      </c>
      <c r="O101" s="84">
        <f>P101+Q101+R101</f>
        <v>44.272800000000004</v>
      </c>
      <c r="P101" s="84">
        <f>L102*D103*G103*I103*K101</f>
        <v>38.6893</v>
      </c>
      <c r="Q101" s="84">
        <f>M101*E103*H103*I103*K101</f>
        <v>5.583500000000001</v>
      </c>
      <c r="R101" s="86">
        <f>N101*F103*K101</f>
        <v>0</v>
      </c>
      <c r="S101" s="45"/>
    </row>
    <row r="102" spans="1:20" ht="12.75">
      <c r="A102" s="39" t="s">
        <v>34</v>
      </c>
      <c r="B102" s="46"/>
      <c r="C102" s="41"/>
      <c r="D102" s="47"/>
      <c r="E102" s="47"/>
      <c r="F102" s="47"/>
      <c r="G102" s="47"/>
      <c r="H102" s="47"/>
      <c r="I102" s="47"/>
      <c r="J102" s="47"/>
      <c r="K102" s="46" t="s">
        <v>82</v>
      </c>
      <c r="L102" s="42">
        <v>297.61</v>
      </c>
      <c r="M102" s="43">
        <v>11.16</v>
      </c>
      <c r="N102" s="43"/>
      <c r="O102" s="42"/>
      <c r="P102" s="42"/>
      <c r="Q102" s="42">
        <f>M102*D103*H103*I103*K101</f>
        <v>1.4508</v>
      </c>
      <c r="R102" s="44"/>
      <c r="T102" s="45">
        <f>Q102</f>
        <v>1.4508</v>
      </c>
    </row>
    <row r="103" spans="1:21" ht="12.75">
      <c r="A103" s="39"/>
      <c r="B103" s="40"/>
      <c r="C103" s="43" t="s">
        <v>36</v>
      </c>
      <c r="D103" s="48">
        <v>1</v>
      </c>
      <c r="E103" s="48">
        <v>1</v>
      </c>
      <c r="F103" s="48">
        <v>1</v>
      </c>
      <c r="G103" s="48">
        <v>1</v>
      </c>
      <c r="H103" s="48">
        <v>1</v>
      </c>
      <c r="I103" s="48">
        <v>1</v>
      </c>
      <c r="J103" s="48">
        <v>0.94</v>
      </c>
      <c r="K103" s="46"/>
      <c r="L103" s="49">
        <v>0.74</v>
      </c>
      <c r="M103" s="43"/>
      <c r="N103" s="43"/>
      <c r="O103" s="42"/>
      <c r="P103" s="42"/>
      <c r="Q103" s="42"/>
      <c r="R103" s="44"/>
      <c r="U103">
        <f>(P101+Q102)*L103*J103</f>
        <v>27.92145356</v>
      </c>
    </row>
    <row r="104" spans="1:22" ht="12.75">
      <c r="A104" s="39"/>
      <c r="B104" s="40"/>
      <c r="C104" s="43" t="s">
        <v>37</v>
      </c>
      <c r="D104" s="43"/>
      <c r="E104" s="43"/>
      <c r="F104" s="43"/>
      <c r="G104" s="43"/>
      <c r="H104" s="43"/>
      <c r="I104" s="43"/>
      <c r="J104" s="50"/>
      <c r="K104" s="46"/>
      <c r="L104" s="49">
        <v>0.5</v>
      </c>
      <c r="M104" s="43"/>
      <c r="N104" s="43"/>
      <c r="O104" s="42"/>
      <c r="P104" s="42"/>
      <c r="Q104" s="42"/>
      <c r="R104" s="44"/>
      <c r="V104">
        <f>(P101+Q102)*L104</f>
        <v>20.070050000000002</v>
      </c>
    </row>
    <row r="105" spans="1:19" ht="12.75">
      <c r="A105" s="39">
        <v>2</v>
      </c>
      <c r="B105" s="40" t="s">
        <v>83</v>
      </c>
      <c r="C105" s="41" t="s">
        <v>84</v>
      </c>
      <c r="D105" s="41"/>
      <c r="E105" s="41"/>
      <c r="F105" s="41"/>
      <c r="G105" s="41"/>
      <c r="H105" s="41"/>
      <c r="I105" s="41"/>
      <c r="J105" s="41"/>
      <c r="K105" s="56">
        <v>0.13</v>
      </c>
      <c r="L105" s="42">
        <v>3509</v>
      </c>
      <c r="M105" s="43">
        <v>97.79</v>
      </c>
      <c r="N105" s="43">
        <v>395.27</v>
      </c>
      <c r="O105" s="42">
        <f>P105+Q105+R105</f>
        <v>456.28700000000003</v>
      </c>
      <c r="P105" s="42">
        <f>L106*D107*G107*I107*K105</f>
        <v>392.1892</v>
      </c>
      <c r="Q105" s="42">
        <f>M105*E107*H107*I107*K105</f>
        <v>12.712700000000002</v>
      </c>
      <c r="R105" s="44">
        <f>N105*F107*K105</f>
        <v>51.3851</v>
      </c>
      <c r="S105" s="45"/>
    </row>
    <row r="106" spans="1:20" ht="12.75">
      <c r="A106" s="39" t="s">
        <v>34</v>
      </c>
      <c r="B106" s="46"/>
      <c r="C106" s="41"/>
      <c r="D106" s="47"/>
      <c r="E106" s="47"/>
      <c r="F106" s="47"/>
      <c r="G106" s="47"/>
      <c r="H106" s="47"/>
      <c r="I106" s="47"/>
      <c r="J106" s="47"/>
      <c r="K106" s="46" t="s">
        <v>82</v>
      </c>
      <c r="L106" s="42">
        <v>3016.84</v>
      </c>
      <c r="M106" s="43">
        <v>13.4</v>
      </c>
      <c r="N106" s="43"/>
      <c r="O106" s="42"/>
      <c r="P106" s="42"/>
      <c r="Q106" s="42">
        <f>M106*D107*H107*I107*K105</f>
        <v>1.7420000000000002</v>
      </c>
      <c r="R106" s="44"/>
      <c r="T106" s="45">
        <f>Q106</f>
        <v>1.7420000000000002</v>
      </c>
    </row>
    <row r="107" spans="1:21" ht="12.75">
      <c r="A107" s="39"/>
      <c r="B107" s="40"/>
      <c r="C107" s="43" t="s">
        <v>36</v>
      </c>
      <c r="D107" s="48">
        <v>1</v>
      </c>
      <c r="E107" s="48">
        <v>1</v>
      </c>
      <c r="F107" s="48">
        <v>1</v>
      </c>
      <c r="G107" s="48">
        <v>1</v>
      </c>
      <c r="H107" s="48">
        <v>1</v>
      </c>
      <c r="I107" s="48">
        <v>1</v>
      </c>
      <c r="J107" s="48">
        <v>0.94</v>
      </c>
      <c r="K107" s="46"/>
      <c r="L107" s="49">
        <v>1.03</v>
      </c>
      <c r="M107" s="43"/>
      <c r="N107" s="43"/>
      <c r="O107" s="42"/>
      <c r="P107" s="42"/>
      <c r="Q107" s="42"/>
      <c r="R107" s="44"/>
      <c r="U107">
        <f>(P105+Q106)*L107*J107</f>
        <v>381.4041878400001</v>
      </c>
    </row>
    <row r="108" spans="1:22" ht="12.75">
      <c r="A108" s="39"/>
      <c r="B108" s="40"/>
      <c r="C108" s="43" t="s">
        <v>37</v>
      </c>
      <c r="D108" s="43"/>
      <c r="E108" s="43"/>
      <c r="F108" s="43"/>
      <c r="G108" s="43"/>
      <c r="H108" s="43"/>
      <c r="I108" s="43"/>
      <c r="J108" s="50"/>
      <c r="K108" s="47"/>
      <c r="L108" s="49">
        <v>0.6</v>
      </c>
      <c r="M108" s="43"/>
      <c r="N108" s="43"/>
      <c r="O108" s="42"/>
      <c r="P108" s="42"/>
      <c r="Q108" s="42"/>
      <c r="R108" s="44"/>
      <c r="V108">
        <f>(P105+Q106)*L108</f>
        <v>236.35872</v>
      </c>
    </row>
    <row r="109" spans="1:19" ht="12.75">
      <c r="A109" s="39">
        <v>2.1</v>
      </c>
      <c r="B109" s="40"/>
      <c r="C109" s="41" t="s">
        <v>85</v>
      </c>
      <c r="D109" s="43"/>
      <c r="E109" s="43"/>
      <c r="F109" s="43"/>
      <c r="G109" s="43"/>
      <c r="H109" s="43"/>
      <c r="I109" s="43"/>
      <c r="J109" s="50"/>
      <c r="K109" s="40">
        <f>K105*100</f>
        <v>13</v>
      </c>
      <c r="L109" s="42">
        <f>N109</f>
        <v>564.3340857787811</v>
      </c>
      <c r="M109" s="43"/>
      <c r="N109" s="42">
        <f>2500/4.43</f>
        <v>564.3340857787811</v>
      </c>
      <c r="O109" s="87">
        <f>L109*K109</f>
        <v>7336.343115124154</v>
      </c>
      <c r="P109" s="42"/>
      <c r="Q109" s="42"/>
      <c r="R109" s="44">
        <f>N109*K109</f>
        <v>7336.343115124154</v>
      </c>
      <c r="S109" s="45">
        <f>R109</f>
        <v>7336.343115124154</v>
      </c>
    </row>
    <row r="110" spans="1:18" ht="12.75">
      <c r="A110" s="39"/>
      <c r="B110" s="40"/>
      <c r="C110" s="43"/>
      <c r="D110" s="43"/>
      <c r="E110" s="43"/>
      <c r="F110" s="43"/>
      <c r="G110" s="43"/>
      <c r="H110" s="43"/>
      <c r="I110" s="43"/>
      <c r="J110" s="50"/>
      <c r="K110" s="46" t="s">
        <v>67</v>
      </c>
      <c r="L110" s="49"/>
      <c r="M110" s="43"/>
      <c r="N110" s="43"/>
      <c r="O110" s="42"/>
      <c r="P110" s="42"/>
      <c r="Q110" s="42"/>
      <c r="R110" s="44"/>
    </row>
    <row r="111" spans="1:19" ht="12.75">
      <c r="A111" s="39">
        <v>3</v>
      </c>
      <c r="B111" s="40" t="s">
        <v>86</v>
      </c>
      <c r="C111" s="41" t="s">
        <v>87</v>
      </c>
      <c r="D111" s="41"/>
      <c r="E111" s="41"/>
      <c r="F111" s="41"/>
      <c r="G111" s="41"/>
      <c r="H111" s="41"/>
      <c r="I111" s="41"/>
      <c r="J111" s="41"/>
      <c r="K111" s="56">
        <v>0.06</v>
      </c>
      <c r="L111" s="42">
        <v>2845.32</v>
      </c>
      <c r="M111" s="43">
        <v>91.26</v>
      </c>
      <c r="N111" s="43">
        <v>360.77</v>
      </c>
      <c r="O111" s="42">
        <f>P111+Q111+R111</f>
        <v>170.71919999999997</v>
      </c>
      <c r="P111" s="42">
        <f>L112*D113*G113*I113*K111</f>
        <v>143.5974</v>
      </c>
      <c r="Q111" s="42">
        <f>M111*E113*H113*I113*K111</f>
        <v>5.4756</v>
      </c>
      <c r="R111" s="44">
        <f>N111*F113*K111</f>
        <v>21.646199999999997</v>
      </c>
      <c r="S111" s="45"/>
    </row>
    <row r="112" spans="1:20" ht="12.75">
      <c r="A112" s="39" t="s">
        <v>34</v>
      </c>
      <c r="B112" s="46"/>
      <c r="C112" s="41"/>
      <c r="D112" s="47"/>
      <c r="E112" s="47"/>
      <c r="F112" s="47"/>
      <c r="G112" s="47"/>
      <c r="H112" s="47"/>
      <c r="I112" s="47"/>
      <c r="J112" s="47"/>
      <c r="K112" s="46" t="s">
        <v>82</v>
      </c>
      <c r="L112" s="42">
        <v>2393.29</v>
      </c>
      <c r="M112" s="43">
        <v>12.5</v>
      </c>
      <c r="N112" s="43"/>
      <c r="O112" s="42"/>
      <c r="P112" s="42"/>
      <c r="Q112" s="42">
        <f>M112*D113*H113*I113*K111</f>
        <v>0.75</v>
      </c>
      <c r="R112" s="44"/>
      <c r="T112" s="45">
        <f>Q112</f>
        <v>0.75</v>
      </c>
    </row>
    <row r="113" spans="1:21" ht="12.75">
      <c r="A113" s="39"/>
      <c r="B113" s="40"/>
      <c r="C113" s="43" t="s">
        <v>36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0.94</v>
      </c>
      <c r="K113" s="46"/>
      <c r="L113" s="49">
        <v>1.03</v>
      </c>
      <c r="M113" s="43"/>
      <c r="N113" s="43"/>
      <c r="O113" s="42"/>
      <c r="P113" s="42"/>
      <c r="Q113" s="42"/>
      <c r="R113" s="44"/>
      <c r="U113">
        <f>(P111+Q112)*L113*J113</f>
        <v>139.75715268</v>
      </c>
    </row>
    <row r="114" spans="1:22" ht="12.75">
      <c r="A114" s="39"/>
      <c r="B114" s="40"/>
      <c r="C114" s="43" t="s">
        <v>37</v>
      </c>
      <c r="D114" s="43"/>
      <c r="E114" s="43"/>
      <c r="F114" s="43"/>
      <c r="G114" s="43"/>
      <c r="H114" s="43"/>
      <c r="I114" s="43"/>
      <c r="J114" s="50"/>
      <c r="K114" s="46"/>
      <c r="L114" s="49">
        <v>0.6</v>
      </c>
      <c r="M114" s="43"/>
      <c r="N114" s="43"/>
      <c r="O114" s="42"/>
      <c r="P114" s="42"/>
      <c r="Q114" s="42"/>
      <c r="R114" s="44"/>
      <c r="V114">
        <f>(P111+Q112)*L114</f>
        <v>86.60843999999999</v>
      </c>
    </row>
    <row r="115" spans="1:19" ht="12.75">
      <c r="A115" s="39">
        <v>3.1</v>
      </c>
      <c r="B115" s="40"/>
      <c r="C115" s="41" t="s">
        <v>88</v>
      </c>
      <c r="D115" s="43"/>
      <c r="E115" s="43"/>
      <c r="F115" s="43"/>
      <c r="G115" s="43"/>
      <c r="H115" s="43"/>
      <c r="I115" s="43"/>
      <c r="J115" s="50"/>
      <c r="K115" s="40">
        <f>K111*100</f>
        <v>6</v>
      </c>
      <c r="L115" s="42">
        <f>N115</f>
        <v>361.1738148984199</v>
      </c>
      <c r="M115" s="43"/>
      <c r="N115" s="42">
        <f>1600/4.43</f>
        <v>361.1738148984199</v>
      </c>
      <c r="O115" s="87">
        <f>L115*K115</f>
        <v>2167.042889390519</v>
      </c>
      <c r="P115" s="42"/>
      <c r="Q115" s="42"/>
      <c r="R115" s="44">
        <f>N115*K115</f>
        <v>2167.042889390519</v>
      </c>
      <c r="S115" s="45">
        <f>R115</f>
        <v>2167.042889390519</v>
      </c>
    </row>
    <row r="116" spans="1:18" ht="12.75">
      <c r="A116" s="39"/>
      <c r="B116" s="40"/>
      <c r="C116" s="43"/>
      <c r="D116" s="43"/>
      <c r="E116" s="43"/>
      <c r="F116" s="43"/>
      <c r="G116" s="43"/>
      <c r="H116" s="43"/>
      <c r="I116" s="43"/>
      <c r="J116" s="50"/>
      <c r="K116" s="46" t="s">
        <v>67</v>
      </c>
      <c r="L116" s="49"/>
      <c r="M116" s="43"/>
      <c r="N116" s="43"/>
      <c r="O116" s="42"/>
      <c r="P116" s="42"/>
      <c r="Q116" s="42"/>
      <c r="R116" s="44"/>
    </row>
    <row r="117" spans="1:19" ht="12.75">
      <c r="A117" s="39">
        <v>4</v>
      </c>
      <c r="B117" s="40" t="s">
        <v>89</v>
      </c>
      <c r="C117" s="41" t="s">
        <v>90</v>
      </c>
      <c r="D117" s="41"/>
      <c r="E117" s="41"/>
      <c r="F117" s="41"/>
      <c r="G117" s="41"/>
      <c r="H117" s="41"/>
      <c r="I117" s="41"/>
      <c r="J117" s="41"/>
      <c r="K117" s="56">
        <f>K111*2+K105</f>
        <v>0.25</v>
      </c>
      <c r="L117" s="42">
        <f>L118+M117+N117</f>
        <v>391.614</v>
      </c>
      <c r="M117" s="43">
        <v>6.52</v>
      </c>
      <c r="N117" s="43">
        <v>2.054</v>
      </c>
      <c r="O117" s="42">
        <f>P117+Q117+R117</f>
        <v>97.9035</v>
      </c>
      <c r="P117" s="42">
        <f>L118*D119*G119*I119*K117</f>
        <v>95.76</v>
      </c>
      <c r="Q117" s="42">
        <f>M117*E119*H119*I119*K117</f>
        <v>1.63</v>
      </c>
      <c r="R117" s="44">
        <f>N117*F119*K117</f>
        <v>0.5135</v>
      </c>
      <c r="S117" s="45"/>
    </row>
    <row r="118" spans="1:20" ht="12.75">
      <c r="A118" s="39" t="s">
        <v>34</v>
      </c>
      <c r="B118" s="46"/>
      <c r="C118" s="41"/>
      <c r="D118" s="47"/>
      <c r="E118" s="47"/>
      <c r="F118" s="47"/>
      <c r="G118" s="47"/>
      <c r="H118" s="47"/>
      <c r="I118" s="47"/>
      <c r="J118" s="47"/>
      <c r="K118" s="46" t="s">
        <v>82</v>
      </c>
      <c r="L118" s="42">
        <v>383.04</v>
      </c>
      <c r="M118" s="43">
        <v>0.89</v>
      </c>
      <c r="N118" s="43"/>
      <c r="O118" s="42"/>
      <c r="P118" s="42"/>
      <c r="Q118" s="42">
        <f>M118*D119*H119*I119*K117</f>
        <v>0.2225</v>
      </c>
      <c r="R118" s="44"/>
      <c r="T118" s="45">
        <f>Q118</f>
        <v>0.2225</v>
      </c>
    </row>
    <row r="119" spans="1:21" ht="12.75">
      <c r="A119" s="39"/>
      <c r="B119" s="40"/>
      <c r="C119" s="43" t="s">
        <v>36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0.94</v>
      </c>
      <c r="K119" s="46"/>
      <c r="L119" s="49">
        <v>1.03</v>
      </c>
      <c r="M119" s="43"/>
      <c r="N119" s="43"/>
      <c r="O119" s="42"/>
      <c r="P119" s="42"/>
      <c r="Q119" s="42"/>
      <c r="R119" s="44"/>
      <c r="U119">
        <f>(P117+Q118)*L119*J119</f>
        <v>92.9302565</v>
      </c>
    </row>
    <row r="120" spans="1:22" ht="12.75">
      <c r="A120" s="39"/>
      <c r="B120" s="40"/>
      <c r="C120" s="43" t="s">
        <v>37</v>
      </c>
      <c r="D120" s="43"/>
      <c r="E120" s="43"/>
      <c r="F120" s="43"/>
      <c r="G120" s="43"/>
      <c r="H120" s="43"/>
      <c r="I120" s="43"/>
      <c r="J120" s="50"/>
      <c r="K120" s="46"/>
      <c r="L120" s="49">
        <v>0.6</v>
      </c>
      <c r="M120" s="43"/>
      <c r="N120" s="43"/>
      <c r="O120" s="42"/>
      <c r="P120" s="42"/>
      <c r="Q120" s="42"/>
      <c r="R120" s="44"/>
      <c r="V120">
        <f>(P117+Q118)*L120</f>
        <v>57.5895</v>
      </c>
    </row>
    <row r="121" spans="1:19" ht="12.75">
      <c r="A121" s="39">
        <v>4.1</v>
      </c>
      <c r="B121" s="40"/>
      <c r="C121" s="41" t="s">
        <v>91</v>
      </c>
      <c r="D121" s="43"/>
      <c r="E121" s="43"/>
      <c r="F121" s="43"/>
      <c r="G121" s="43"/>
      <c r="H121" s="43"/>
      <c r="I121" s="43"/>
      <c r="J121" s="50"/>
      <c r="K121" s="40">
        <f>K117*100</f>
        <v>25</v>
      </c>
      <c r="L121" s="42">
        <f>N121</f>
        <v>29.345372460496616</v>
      </c>
      <c r="M121" s="43"/>
      <c r="N121" s="42">
        <f>130/4.43</f>
        <v>29.345372460496616</v>
      </c>
      <c r="O121" s="87">
        <f>L121*K121</f>
        <v>733.6343115124154</v>
      </c>
      <c r="P121" s="42"/>
      <c r="Q121" s="42"/>
      <c r="R121" s="44">
        <f>N121*K121</f>
        <v>733.6343115124154</v>
      </c>
      <c r="S121" s="45">
        <f>R121</f>
        <v>733.6343115124154</v>
      </c>
    </row>
    <row r="122" spans="1:18" ht="12.75">
      <c r="A122" s="39"/>
      <c r="B122" s="40"/>
      <c r="C122" s="43"/>
      <c r="D122" s="43"/>
      <c r="E122" s="43"/>
      <c r="F122" s="43"/>
      <c r="G122" s="43"/>
      <c r="H122" s="43"/>
      <c r="I122" s="43"/>
      <c r="J122" s="50"/>
      <c r="K122" s="46" t="s">
        <v>67</v>
      </c>
      <c r="L122" s="49"/>
      <c r="M122" s="43"/>
      <c r="N122" s="43"/>
      <c r="O122" s="42"/>
      <c r="P122" s="42"/>
      <c r="Q122" s="42"/>
      <c r="R122" s="44"/>
    </row>
    <row r="123" spans="1:19" ht="12.75">
      <c r="A123" s="39">
        <v>5</v>
      </c>
      <c r="B123" s="40" t="s">
        <v>92</v>
      </c>
      <c r="C123" s="41" t="s">
        <v>93</v>
      </c>
      <c r="D123" s="41"/>
      <c r="E123" s="41"/>
      <c r="F123" s="41"/>
      <c r="G123" s="41"/>
      <c r="H123" s="41"/>
      <c r="I123" s="41"/>
      <c r="J123" s="41"/>
      <c r="K123" s="56">
        <f>K111</f>
        <v>0.06</v>
      </c>
      <c r="L123" s="42">
        <v>1179.33</v>
      </c>
      <c r="M123" s="43">
        <v>6.52</v>
      </c>
      <c r="N123" s="43">
        <v>865.79</v>
      </c>
      <c r="O123" s="42">
        <f>P123+Q123+R123</f>
        <v>70.7598</v>
      </c>
      <c r="P123" s="42">
        <f>L124*D125*G125*I125*K123</f>
        <v>18.4212</v>
      </c>
      <c r="Q123" s="42">
        <f>M123*E125*H125*I125*K123</f>
        <v>0.39119999999999994</v>
      </c>
      <c r="R123" s="44">
        <f>N123*F125*K123</f>
        <v>51.947399999999995</v>
      </c>
      <c r="S123" s="45"/>
    </row>
    <row r="124" spans="1:20" ht="12.75">
      <c r="A124" s="39" t="s">
        <v>34</v>
      </c>
      <c r="B124" s="46"/>
      <c r="C124" s="41"/>
      <c r="D124" s="47"/>
      <c r="E124" s="47"/>
      <c r="F124" s="47"/>
      <c r="G124" s="47"/>
      <c r="H124" s="47"/>
      <c r="I124" s="47"/>
      <c r="J124" s="47"/>
      <c r="K124" s="46" t="s">
        <v>82</v>
      </c>
      <c r="L124" s="42">
        <v>307.02</v>
      </c>
      <c r="M124" s="43">
        <v>0.89</v>
      </c>
      <c r="N124" s="43"/>
      <c r="O124" s="42"/>
      <c r="P124" s="42"/>
      <c r="Q124" s="42">
        <f>M124*D125*H125*I125*K123</f>
        <v>0.053399999999999996</v>
      </c>
      <c r="R124" s="44"/>
      <c r="T124" s="45">
        <f>Q124</f>
        <v>0.053399999999999996</v>
      </c>
    </row>
    <row r="125" spans="1:21" ht="12.75">
      <c r="A125" s="39"/>
      <c r="B125" s="40"/>
      <c r="C125" s="43" t="s">
        <v>36</v>
      </c>
      <c r="D125" s="48">
        <v>1</v>
      </c>
      <c r="E125" s="48">
        <v>1</v>
      </c>
      <c r="F125" s="48">
        <v>1</v>
      </c>
      <c r="G125" s="48">
        <v>1</v>
      </c>
      <c r="H125" s="48">
        <v>1</v>
      </c>
      <c r="I125" s="48">
        <v>1</v>
      </c>
      <c r="J125" s="48">
        <v>0.94</v>
      </c>
      <c r="K125" s="46"/>
      <c r="L125" s="49">
        <v>1.03</v>
      </c>
      <c r="M125" s="43"/>
      <c r="N125" s="43"/>
      <c r="O125" s="42"/>
      <c r="P125" s="42"/>
      <c r="Q125" s="42"/>
      <c r="R125" s="44"/>
      <c r="U125">
        <f>(P123+Q124)*L125*J125</f>
        <v>17.88710772</v>
      </c>
    </row>
    <row r="126" spans="1:22" ht="12.75">
      <c r="A126" s="39"/>
      <c r="B126" s="40"/>
      <c r="C126" s="43" t="s">
        <v>37</v>
      </c>
      <c r="D126" s="43"/>
      <c r="E126" s="43"/>
      <c r="F126" s="43"/>
      <c r="G126" s="43"/>
      <c r="H126" s="43"/>
      <c r="I126" s="43"/>
      <c r="J126" s="50"/>
      <c r="K126" s="46"/>
      <c r="L126" s="49">
        <v>0.6</v>
      </c>
      <c r="M126" s="43"/>
      <c r="N126" s="43"/>
      <c r="O126" s="42"/>
      <c r="P126" s="42"/>
      <c r="Q126" s="42"/>
      <c r="R126" s="44"/>
      <c r="V126">
        <f>(P123+Q124)*L126</f>
        <v>11.08476</v>
      </c>
    </row>
    <row r="127" spans="1:19" ht="12.75">
      <c r="A127" s="39">
        <v>5.1</v>
      </c>
      <c r="B127" s="40"/>
      <c r="C127" s="41" t="s">
        <v>94</v>
      </c>
      <c r="D127" s="43"/>
      <c r="E127" s="43"/>
      <c r="F127" s="43"/>
      <c r="G127" s="43"/>
      <c r="H127" s="43"/>
      <c r="I127" s="43"/>
      <c r="J127" s="50"/>
      <c r="K127" s="40">
        <f>K123*100</f>
        <v>6</v>
      </c>
      <c r="L127" s="42">
        <f>N127</f>
        <v>24.830699774266368</v>
      </c>
      <c r="M127" s="43"/>
      <c r="N127" s="42">
        <f>110/4.43</f>
        <v>24.830699774266368</v>
      </c>
      <c r="O127" s="87">
        <f>L127*K127</f>
        <v>148.9841986455982</v>
      </c>
      <c r="P127" s="42"/>
      <c r="Q127" s="42"/>
      <c r="R127" s="44">
        <f>N127*K127</f>
        <v>148.9841986455982</v>
      </c>
      <c r="S127" s="45">
        <f>R127</f>
        <v>148.9841986455982</v>
      </c>
    </row>
    <row r="128" spans="1:18" ht="12.75">
      <c r="A128" s="39"/>
      <c r="B128" s="40"/>
      <c r="C128" s="43"/>
      <c r="D128" s="43"/>
      <c r="E128" s="43"/>
      <c r="F128" s="43"/>
      <c r="G128" s="43"/>
      <c r="H128" s="43"/>
      <c r="I128" s="43"/>
      <c r="J128" s="50"/>
      <c r="K128" s="46" t="s">
        <v>67</v>
      </c>
      <c r="L128" s="49"/>
      <c r="M128" s="43"/>
      <c r="N128" s="43"/>
      <c r="O128" s="42"/>
      <c r="P128" s="42"/>
      <c r="Q128" s="42"/>
      <c r="R128" s="44"/>
    </row>
    <row r="129" spans="1:19" ht="12.75">
      <c r="A129" s="39">
        <v>6</v>
      </c>
      <c r="B129" s="40" t="s">
        <v>95</v>
      </c>
      <c r="C129" s="41" t="s">
        <v>96</v>
      </c>
      <c r="D129" s="41"/>
      <c r="E129" s="41"/>
      <c r="F129" s="41"/>
      <c r="G129" s="41"/>
      <c r="H129" s="41"/>
      <c r="I129" s="41"/>
      <c r="J129" s="41"/>
      <c r="K129" s="56">
        <f>K111</f>
        <v>0.06</v>
      </c>
      <c r="L129" s="42">
        <v>1629.98</v>
      </c>
      <c r="M129" s="43">
        <v>8.64</v>
      </c>
      <c r="N129" s="43">
        <v>159.34</v>
      </c>
      <c r="O129" s="42">
        <f>P129+Q129+R129</f>
        <v>97.7988</v>
      </c>
      <c r="P129" s="42">
        <f>L130*D131*G131*I131*K129</f>
        <v>87.72</v>
      </c>
      <c r="Q129" s="42">
        <f>M129*E131*H131*I131*K129</f>
        <v>0.5184</v>
      </c>
      <c r="R129" s="44">
        <f>N129*F131*K129</f>
        <v>9.5604</v>
      </c>
      <c r="S129" s="45"/>
    </row>
    <row r="130" spans="1:20" ht="12.75">
      <c r="A130" s="39" t="s">
        <v>34</v>
      </c>
      <c r="B130" s="46"/>
      <c r="C130" s="41"/>
      <c r="D130" s="47"/>
      <c r="E130" s="47"/>
      <c r="F130" s="47"/>
      <c r="G130" s="47"/>
      <c r="H130" s="47"/>
      <c r="I130" s="47"/>
      <c r="J130" s="47"/>
      <c r="K130" s="46" t="s">
        <v>82</v>
      </c>
      <c r="L130" s="42">
        <v>1462</v>
      </c>
      <c r="M130" s="43">
        <v>0.8</v>
      </c>
      <c r="N130" s="43"/>
      <c r="O130" s="42"/>
      <c r="P130" s="42"/>
      <c r="Q130" s="42">
        <f>M130*D131*H131*I131*K129</f>
        <v>0.048</v>
      </c>
      <c r="R130" s="44"/>
      <c r="T130" s="45">
        <f>Q130</f>
        <v>0.048</v>
      </c>
    </row>
    <row r="131" spans="1:21" ht="12.75">
      <c r="A131" s="39"/>
      <c r="B131" s="40"/>
      <c r="C131" s="43" t="s">
        <v>36</v>
      </c>
      <c r="D131" s="48">
        <v>1</v>
      </c>
      <c r="E131" s="48">
        <v>1</v>
      </c>
      <c r="F131" s="48">
        <v>1</v>
      </c>
      <c r="G131" s="48">
        <v>1</v>
      </c>
      <c r="H131" s="48">
        <v>1</v>
      </c>
      <c r="I131" s="48">
        <v>1</v>
      </c>
      <c r="J131" s="48">
        <v>0.94</v>
      </c>
      <c r="K131" s="46"/>
      <c r="L131" s="49">
        <v>1.03</v>
      </c>
      <c r="M131" s="43"/>
      <c r="N131" s="43"/>
      <c r="O131" s="42"/>
      <c r="P131" s="42"/>
      <c r="Q131" s="42"/>
      <c r="R131" s="44"/>
      <c r="U131">
        <f>(P129+Q130)*L131*J131</f>
        <v>84.9769776</v>
      </c>
    </row>
    <row r="132" spans="1:22" ht="12.75">
      <c r="A132" s="39"/>
      <c r="B132" s="40"/>
      <c r="C132" s="43" t="s">
        <v>37</v>
      </c>
      <c r="D132" s="43"/>
      <c r="E132" s="43"/>
      <c r="F132" s="43"/>
      <c r="G132" s="43"/>
      <c r="H132" s="43"/>
      <c r="I132" s="43"/>
      <c r="J132" s="50"/>
      <c r="K132" s="46"/>
      <c r="L132" s="49">
        <v>0.6</v>
      </c>
      <c r="M132" s="43"/>
      <c r="N132" s="43"/>
      <c r="O132" s="42"/>
      <c r="P132" s="42"/>
      <c r="Q132" s="42"/>
      <c r="R132" s="44"/>
      <c r="V132">
        <f>(P129+Q130)*L132</f>
        <v>52.6608</v>
      </c>
    </row>
    <row r="133" spans="1:19" ht="12.75">
      <c r="A133" s="39">
        <v>6.1</v>
      </c>
      <c r="B133" s="40"/>
      <c r="C133" s="41" t="s">
        <v>97</v>
      </c>
      <c r="D133" s="43"/>
      <c r="E133" s="43"/>
      <c r="F133" s="43"/>
      <c r="G133" s="43"/>
      <c r="H133" s="43"/>
      <c r="I133" s="43"/>
      <c r="J133" s="50"/>
      <c r="K133" s="40">
        <f>K129*100</f>
        <v>6</v>
      </c>
      <c r="L133" s="42">
        <f>N133</f>
        <v>248.30699774266367</v>
      </c>
      <c r="M133" s="43"/>
      <c r="N133" s="42">
        <f>1100/4.43</f>
        <v>248.30699774266367</v>
      </c>
      <c r="O133" s="87">
        <f>L133*K133</f>
        <v>1489.841986455982</v>
      </c>
      <c r="P133" s="42"/>
      <c r="Q133" s="42"/>
      <c r="R133" s="44">
        <f>N133*K133</f>
        <v>1489.841986455982</v>
      </c>
      <c r="S133" s="45">
        <f>R133</f>
        <v>1489.841986455982</v>
      </c>
    </row>
    <row r="134" spans="1:18" ht="12.75">
      <c r="A134" s="39"/>
      <c r="B134" s="40"/>
      <c r="C134" s="43"/>
      <c r="D134" s="43"/>
      <c r="E134" s="43"/>
      <c r="F134" s="43"/>
      <c r="G134" s="43"/>
      <c r="H134" s="43"/>
      <c r="I134" s="43"/>
      <c r="J134" s="50"/>
      <c r="K134" s="46" t="s">
        <v>67</v>
      </c>
      <c r="L134" s="49"/>
      <c r="M134" s="43"/>
      <c r="N134" s="43"/>
      <c r="O134" s="42"/>
      <c r="P134" s="42"/>
      <c r="Q134" s="42"/>
      <c r="R134" s="44"/>
    </row>
    <row r="135" spans="1:19" ht="12.75">
      <c r="A135" s="39">
        <v>7</v>
      </c>
      <c r="B135" s="40" t="s">
        <v>98</v>
      </c>
      <c r="C135" s="41" t="s">
        <v>99</v>
      </c>
      <c r="D135" s="41"/>
      <c r="E135" s="41"/>
      <c r="F135" s="41"/>
      <c r="G135" s="41"/>
      <c r="H135" s="41"/>
      <c r="I135" s="41"/>
      <c r="J135" s="41"/>
      <c r="K135" s="56">
        <v>0.16</v>
      </c>
      <c r="L135" s="42">
        <v>656.2</v>
      </c>
      <c r="M135" s="43">
        <v>4.8</v>
      </c>
      <c r="N135" s="43">
        <v>59.29</v>
      </c>
      <c r="O135" s="42">
        <f>P135+Q135+R135</f>
        <v>104.992</v>
      </c>
      <c r="P135" s="42">
        <f>L136*D137*G137*I137*K135</f>
        <v>94.7376</v>
      </c>
      <c r="Q135" s="42">
        <f>M135*E137*H137*I137*K135</f>
        <v>0.768</v>
      </c>
      <c r="R135" s="44">
        <f>N135*F137*K135</f>
        <v>9.4864</v>
      </c>
      <c r="S135" s="45"/>
    </row>
    <row r="136" spans="1:20" ht="12.75">
      <c r="A136" s="39" t="s">
        <v>34</v>
      </c>
      <c r="B136" s="46"/>
      <c r="C136" s="41"/>
      <c r="D136" s="47"/>
      <c r="E136" s="47"/>
      <c r="F136" s="47"/>
      <c r="G136" s="47"/>
      <c r="H136" s="47"/>
      <c r="I136" s="47"/>
      <c r="J136" s="47"/>
      <c r="K136" s="46" t="s">
        <v>82</v>
      </c>
      <c r="L136" s="42">
        <v>592.11</v>
      </c>
      <c r="M136" s="43">
        <v>0.45</v>
      </c>
      <c r="N136" s="43"/>
      <c r="O136" s="42"/>
      <c r="P136" s="42"/>
      <c r="Q136" s="42">
        <f>M136*D137*H137*I137*K135</f>
        <v>0.07200000000000001</v>
      </c>
      <c r="R136" s="44"/>
      <c r="T136" s="45">
        <f>Q136</f>
        <v>0.07200000000000001</v>
      </c>
    </row>
    <row r="137" spans="1:21" ht="12.75">
      <c r="A137" s="39"/>
      <c r="B137" s="40"/>
      <c r="C137" s="43" t="s">
        <v>36</v>
      </c>
      <c r="D137" s="48">
        <v>1</v>
      </c>
      <c r="E137" s="48">
        <v>1</v>
      </c>
      <c r="F137" s="48">
        <v>1</v>
      </c>
      <c r="G137" s="48">
        <v>1</v>
      </c>
      <c r="H137" s="48">
        <v>1</v>
      </c>
      <c r="I137" s="48">
        <v>1</v>
      </c>
      <c r="J137" s="48">
        <v>0.94</v>
      </c>
      <c r="K137" s="46"/>
      <c r="L137" s="49">
        <v>1.03</v>
      </c>
      <c r="M137" s="43"/>
      <c r="N137" s="43"/>
      <c r="O137" s="42"/>
      <c r="P137" s="42"/>
      <c r="Q137" s="42"/>
      <c r="R137" s="44"/>
      <c r="U137">
        <f>(P135+Q136)*L137*J137</f>
        <v>91.79465472</v>
      </c>
    </row>
    <row r="138" spans="1:22" ht="12.75">
      <c r="A138" s="39"/>
      <c r="B138" s="40"/>
      <c r="C138" s="43" t="s">
        <v>37</v>
      </c>
      <c r="D138" s="43"/>
      <c r="E138" s="43"/>
      <c r="F138" s="43"/>
      <c r="G138" s="43"/>
      <c r="H138" s="43"/>
      <c r="I138" s="43"/>
      <c r="J138" s="50"/>
      <c r="K138" s="46"/>
      <c r="L138" s="49">
        <v>0.6</v>
      </c>
      <c r="M138" s="43"/>
      <c r="N138" s="43"/>
      <c r="O138" s="42"/>
      <c r="P138" s="42"/>
      <c r="Q138" s="42"/>
      <c r="R138" s="44"/>
      <c r="V138">
        <f>(P135+Q136)*L138</f>
        <v>56.88576</v>
      </c>
    </row>
    <row r="139" spans="1:19" ht="12.75">
      <c r="A139" s="39">
        <v>7.1</v>
      </c>
      <c r="B139" s="40"/>
      <c r="C139" s="41" t="s">
        <v>100</v>
      </c>
      <c r="D139" s="43"/>
      <c r="E139" s="43"/>
      <c r="F139" s="43"/>
      <c r="G139" s="43"/>
      <c r="H139" s="43"/>
      <c r="I139" s="43"/>
      <c r="J139" s="50"/>
      <c r="K139" s="40">
        <f>K135*100</f>
        <v>16</v>
      </c>
      <c r="L139" s="42">
        <f>N139</f>
        <v>31.60270880361174</v>
      </c>
      <c r="M139" s="43"/>
      <c r="N139" s="42">
        <f>140/4.43</f>
        <v>31.60270880361174</v>
      </c>
      <c r="O139" s="87">
        <f>L139*K139</f>
        <v>505.64334085778785</v>
      </c>
      <c r="P139" s="42"/>
      <c r="Q139" s="42"/>
      <c r="R139" s="44">
        <f>N139*K139</f>
        <v>505.64334085778785</v>
      </c>
      <c r="S139" s="45">
        <f>R139</f>
        <v>505.64334085778785</v>
      </c>
    </row>
    <row r="140" spans="1:18" ht="12.75">
      <c r="A140" s="39"/>
      <c r="B140" s="40"/>
      <c r="C140" s="43"/>
      <c r="D140" s="43"/>
      <c r="E140" s="43"/>
      <c r="F140" s="43"/>
      <c r="G140" s="43"/>
      <c r="H140" s="43"/>
      <c r="I140" s="43"/>
      <c r="J140" s="50"/>
      <c r="K140" s="46" t="s">
        <v>67</v>
      </c>
      <c r="L140" s="49"/>
      <c r="M140" s="43"/>
      <c r="N140" s="43"/>
      <c r="O140" s="42"/>
      <c r="P140" s="42"/>
      <c r="Q140" s="42"/>
      <c r="R140" s="44"/>
    </row>
    <row r="141" spans="1:19" ht="12.75">
      <c r="A141" s="39">
        <v>8</v>
      </c>
      <c r="B141" s="40" t="s">
        <v>101</v>
      </c>
      <c r="C141" s="41" t="s">
        <v>102</v>
      </c>
      <c r="D141" s="41"/>
      <c r="E141" s="41"/>
      <c r="F141" s="41"/>
      <c r="G141" s="41"/>
      <c r="H141" s="41"/>
      <c r="I141" s="41"/>
      <c r="J141" s="41"/>
      <c r="K141" s="56">
        <f>2*7/100</f>
        <v>0.14</v>
      </c>
      <c r="L141" s="42">
        <v>474.03</v>
      </c>
      <c r="M141" s="43">
        <v>5.5</v>
      </c>
      <c r="N141" s="43">
        <v>0</v>
      </c>
      <c r="O141" s="87">
        <f>L141*K141</f>
        <v>66.3642</v>
      </c>
      <c r="P141" s="42">
        <f>L142*D143*G143*I143*K141</f>
        <v>65.5942</v>
      </c>
      <c r="Q141" s="42">
        <f>M141*E143*H143*I143*K141</f>
        <v>0.77</v>
      </c>
      <c r="R141" s="44">
        <f>N141*F143*K141</f>
        <v>0</v>
      </c>
      <c r="S141" s="45"/>
    </row>
    <row r="142" spans="1:20" ht="12.75">
      <c r="A142" s="39" t="s">
        <v>34</v>
      </c>
      <c r="B142" s="46"/>
      <c r="C142" s="41"/>
      <c r="D142" s="47"/>
      <c r="E142" s="47"/>
      <c r="F142" s="47"/>
      <c r="G142" s="47"/>
      <c r="H142" s="47"/>
      <c r="I142" s="47"/>
      <c r="J142" s="47"/>
      <c r="K142" s="46" t="s">
        <v>59</v>
      </c>
      <c r="L142" s="42">
        <v>468.53</v>
      </c>
      <c r="M142" s="43">
        <v>1.43</v>
      </c>
      <c r="N142" s="43"/>
      <c r="O142" s="42"/>
      <c r="P142" s="42"/>
      <c r="Q142" s="42">
        <f>M142*D143*H143*I143*K141</f>
        <v>0.20020000000000002</v>
      </c>
      <c r="R142" s="44"/>
      <c r="T142" s="45">
        <f>Q142</f>
        <v>0.20020000000000002</v>
      </c>
    </row>
    <row r="143" spans="1:21" ht="12.75">
      <c r="A143" s="39"/>
      <c r="B143" s="40"/>
      <c r="C143" s="43" t="s">
        <v>36</v>
      </c>
      <c r="D143" s="48">
        <v>1</v>
      </c>
      <c r="E143" s="48">
        <v>1</v>
      </c>
      <c r="F143" s="48">
        <v>1</v>
      </c>
      <c r="G143" s="48">
        <v>1</v>
      </c>
      <c r="H143" s="48">
        <v>1</v>
      </c>
      <c r="I143" s="48">
        <v>1</v>
      </c>
      <c r="J143" s="48">
        <v>0.94</v>
      </c>
      <c r="K143" s="46"/>
      <c r="L143" s="49">
        <v>0.74</v>
      </c>
      <c r="M143" s="43"/>
      <c r="N143" s="43"/>
      <c r="O143" s="42"/>
      <c r="P143" s="42"/>
      <c r="Q143" s="42"/>
      <c r="R143" s="44"/>
      <c r="U143">
        <f>(P141+Q142)*L143*J143</f>
        <v>45.76658463999999</v>
      </c>
    </row>
    <row r="144" spans="1:22" ht="12.75">
      <c r="A144" s="39"/>
      <c r="B144" s="40"/>
      <c r="C144" s="43" t="s">
        <v>37</v>
      </c>
      <c r="D144" s="43"/>
      <c r="E144" s="43"/>
      <c r="F144" s="43"/>
      <c r="G144" s="43"/>
      <c r="H144" s="43"/>
      <c r="I144" s="48"/>
      <c r="J144" s="50"/>
      <c r="K144" s="46"/>
      <c r="L144" s="49">
        <v>0.5</v>
      </c>
      <c r="M144" s="43"/>
      <c r="N144" s="43"/>
      <c r="O144" s="42"/>
      <c r="P144" s="42"/>
      <c r="Q144" s="42"/>
      <c r="R144" s="44"/>
      <c r="V144">
        <f>(P141+Q142)*L144</f>
        <v>32.8972</v>
      </c>
    </row>
    <row r="145" spans="1:19" ht="12.75">
      <c r="A145" s="39" t="s">
        <v>103</v>
      </c>
      <c r="B145" s="40" t="s">
        <v>104</v>
      </c>
      <c r="C145" s="41" t="s">
        <v>105</v>
      </c>
      <c r="D145" s="41"/>
      <c r="E145" s="41"/>
      <c r="F145" s="41"/>
      <c r="G145" s="41"/>
      <c r="H145" s="41"/>
      <c r="I145" s="41"/>
      <c r="J145" s="41"/>
      <c r="K145" s="56">
        <f>2*7/100</f>
        <v>0.14</v>
      </c>
      <c r="L145" s="42">
        <v>4639.08</v>
      </c>
      <c r="M145" s="43">
        <v>13.2</v>
      </c>
      <c r="N145" s="43">
        <v>4112.68</v>
      </c>
      <c r="O145" s="88">
        <f>L145*K145</f>
        <v>649.4712000000001</v>
      </c>
      <c r="P145" s="42">
        <f>L146*D147*G147*I147*K145</f>
        <v>99.165696</v>
      </c>
      <c r="Q145" s="42">
        <f>M145*E147*H147*I147*K145</f>
        <v>2.7720000000000002</v>
      </c>
      <c r="R145" s="44">
        <f>N145*F147*K145</f>
        <v>575.7752</v>
      </c>
      <c r="S145" s="45"/>
    </row>
    <row r="146" spans="1:20" ht="12.75">
      <c r="A146" s="39" t="s">
        <v>34</v>
      </c>
      <c r="B146" s="43" t="s">
        <v>58</v>
      </c>
      <c r="C146" s="41"/>
      <c r="D146" s="47"/>
      <c r="E146" s="47"/>
      <c r="F146" s="47"/>
      <c r="G146" s="47"/>
      <c r="H146" s="47"/>
      <c r="I146" s="47"/>
      <c r="J146" s="47"/>
      <c r="K146" s="46" t="s">
        <v>59</v>
      </c>
      <c r="L146" s="42">
        <v>513.28</v>
      </c>
      <c r="M146" s="43">
        <v>0.2</v>
      </c>
      <c r="N146" s="43"/>
      <c r="O146" s="42"/>
      <c r="P146" s="42"/>
      <c r="Q146" s="42">
        <f>M146*D147*H147*I147*K145</f>
        <v>0.042</v>
      </c>
      <c r="R146" s="44"/>
      <c r="T146" s="45">
        <f>Q146</f>
        <v>0.042</v>
      </c>
    </row>
    <row r="147" spans="1:21" ht="12.75">
      <c r="A147" s="39"/>
      <c r="B147" s="40"/>
      <c r="C147" s="43" t="s">
        <v>36</v>
      </c>
      <c r="D147" s="48">
        <v>1</v>
      </c>
      <c r="E147" s="48">
        <v>1</v>
      </c>
      <c r="F147" s="48">
        <v>1</v>
      </c>
      <c r="G147" s="48">
        <v>1.15</v>
      </c>
      <c r="H147" s="48">
        <v>1.25</v>
      </c>
      <c r="I147" s="48">
        <v>1.2</v>
      </c>
      <c r="J147" s="48">
        <v>0.94</v>
      </c>
      <c r="K147" s="46"/>
      <c r="L147" s="49">
        <v>1.152</v>
      </c>
      <c r="M147" s="43"/>
      <c r="N147" s="43"/>
      <c r="O147" s="42"/>
      <c r="P147" s="42"/>
      <c r="Q147" s="42"/>
      <c r="R147" s="44"/>
      <c r="U147">
        <f>(P145+Q146)*L147*J147</f>
        <v>107.43002984447998</v>
      </c>
    </row>
    <row r="148" spans="1:22" ht="12.75">
      <c r="A148" s="39"/>
      <c r="B148" s="40"/>
      <c r="C148" s="43" t="s">
        <v>37</v>
      </c>
      <c r="D148" s="43"/>
      <c r="E148" s="43"/>
      <c r="F148" s="43"/>
      <c r="G148" s="43"/>
      <c r="H148" s="43"/>
      <c r="I148" s="48"/>
      <c r="J148" s="50"/>
      <c r="K148" s="46"/>
      <c r="L148" s="49">
        <v>0.7055</v>
      </c>
      <c r="M148" s="43"/>
      <c r="N148" s="43"/>
      <c r="O148" s="42"/>
      <c r="P148" s="42"/>
      <c r="Q148" s="42"/>
      <c r="R148" s="44"/>
      <c r="V148">
        <f>(P145+Q146)*L148</f>
        <v>69.991029528</v>
      </c>
    </row>
    <row r="149" spans="1:19" ht="15.75" customHeight="1">
      <c r="A149" s="39">
        <v>9</v>
      </c>
      <c r="B149" s="40" t="s">
        <v>106</v>
      </c>
      <c r="C149" s="41" t="s">
        <v>107</v>
      </c>
      <c r="D149" s="41"/>
      <c r="E149" s="41"/>
      <c r="F149" s="41"/>
      <c r="G149" s="41"/>
      <c r="H149" s="41"/>
      <c r="I149" s="41"/>
      <c r="J149" s="41"/>
      <c r="K149" s="56">
        <f>7*6/100</f>
        <v>0.42</v>
      </c>
      <c r="L149" s="42">
        <v>591.89</v>
      </c>
      <c r="M149" s="43">
        <v>11</v>
      </c>
      <c r="N149" s="43">
        <v>0</v>
      </c>
      <c r="O149" s="42">
        <f>P149+Q149+R149</f>
        <v>248.5938</v>
      </c>
      <c r="P149" s="42">
        <f>L150*D151*G151*I151*K149</f>
        <v>243.97379999999998</v>
      </c>
      <c r="Q149" s="42">
        <f>M149*E151*H151*I151*K149</f>
        <v>4.62</v>
      </c>
      <c r="R149" s="44">
        <f>N149*F151*K149</f>
        <v>0</v>
      </c>
      <c r="S149" s="45"/>
    </row>
    <row r="150" spans="1:20" ht="12.75">
      <c r="A150" s="39" t="s">
        <v>34</v>
      </c>
      <c r="B150" s="46"/>
      <c r="C150" s="41"/>
      <c r="D150" s="47"/>
      <c r="E150" s="47"/>
      <c r="F150" s="47"/>
      <c r="G150" s="47"/>
      <c r="H150" s="47"/>
      <c r="I150" s="47"/>
      <c r="J150" s="47"/>
      <c r="K150" s="46" t="s">
        <v>59</v>
      </c>
      <c r="L150" s="42">
        <v>580.89</v>
      </c>
      <c r="M150" s="43">
        <v>2.86</v>
      </c>
      <c r="N150" s="43"/>
      <c r="O150" s="42"/>
      <c r="P150" s="42"/>
      <c r="Q150" s="42">
        <f>M150*D151*H151*I151*K149</f>
        <v>1.2011999999999998</v>
      </c>
      <c r="R150" s="44"/>
      <c r="T150" s="45">
        <f>Q150</f>
        <v>1.2011999999999998</v>
      </c>
    </row>
    <row r="151" spans="1:21" ht="12.75">
      <c r="A151" s="39"/>
      <c r="B151" s="40"/>
      <c r="C151" s="43" t="s">
        <v>36</v>
      </c>
      <c r="D151" s="48">
        <v>1</v>
      </c>
      <c r="E151" s="48">
        <v>1</v>
      </c>
      <c r="F151" s="48">
        <v>1</v>
      </c>
      <c r="G151" s="48">
        <v>1</v>
      </c>
      <c r="H151" s="48">
        <v>1</v>
      </c>
      <c r="I151" s="48">
        <v>1</v>
      </c>
      <c r="J151" s="48">
        <v>0.94</v>
      </c>
      <c r="K151" s="46"/>
      <c r="L151" s="49">
        <v>0.74</v>
      </c>
      <c r="M151" s="43"/>
      <c r="N151" s="43"/>
      <c r="O151" s="42"/>
      <c r="P151" s="42"/>
      <c r="Q151" s="42"/>
      <c r="R151" s="44"/>
      <c r="U151">
        <f>(P149+Q150)*L151*J151</f>
        <v>170.54372999999998</v>
      </c>
    </row>
    <row r="152" spans="1:22" ht="12.75">
      <c r="A152" s="39"/>
      <c r="B152" s="40"/>
      <c r="C152" s="43" t="s">
        <v>37</v>
      </c>
      <c r="D152" s="43"/>
      <c r="E152" s="43"/>
      <c r="F152" s="43"/>
      <c r="G152" s="43"/>
      <c r="H152" s="43"/>
      <c r="I152" s="43"/>
      <c r="J152" s="50"/>
      <c r="K152" s="46"/>
      <c r="L152" s="49">
        <v>0.5</v>
      </c>
      <c r="M152" s="43"/>
      <c r="N152" s="43"/>
      <c r="O152" s="42"/>
      <c r="P152" s="42"/>
      <c r="Q152" s="42"/>
      <c r="R152" s="44"/>
      <c r="V152">
        <f>(P149+Q150)*L152</f>
        <v>122.58749999999999</v>
      </c>
    </row>
    <row r="153" spans="1:19" ht="25.5">
      <c r="A153" s="39" t="s">
        <v>108</v>
      </c>
      <c r="B153" s="40" t="s">
        <v>109</v>
      </c>
      <c r="C153" s="41" t="s">
        <v>110</v>
      </c>
      <c r="D153" s="41"/>
      <c r="E153" s="41"/>
      <c r="F153" s="41"/>
      <c r="G153" s="41"/>
      <c r="H153" s="41"/>
      <c r="I153" s="41"/>
      <c r="J153" s="41"/>
      <c r="K153" s="56">
        <f>7*6/100</f>
        <v>0.42</v>
      </c>
      <c r="L153" s="42">
        <v>7918.91</v>
      </c>
      <c r="M153" s="43">
        <v>28.86</v>
      </c>
      <c r="N153" s="43">
        <v>7397.87</v>
      </c>
      <c r="O153" s="42">
        <f>P153+Q153+R153</f>
        <v>3410.554728</v>
      </c>
      <c r="P153" s="42">
        <f>L154*D155*G155*I155*K153</f>
        <v>285.2675279999999</v>
      </c>
      <c r="Q153" s="42">
        <f>M153*E155*H155*I155*K153</f>
        <v>18.1818</v>
      </c>
      <c r="R153" s="44">
        <f>N153*F155*K153</f>
        <v>3107.1054</v>
      </c>
      <c r="S153" s="45"/>
    </row>
    <row r="154" spans="1:20" ht="12.75">
      <c r="A154" s="39" t="s">
        <v>34</v>
      </c>
      <c r="B154" s="43" t="s">
        <v>58</v>
      </c>
      <c r="C154" s="41"/>
      <c r="D154" s="47"/>
      <c r="E154" s="47"/>
      <c r="F154" s="47"/>
      <c r="G154" s="47"/>
      <c r="H154" s="47"/>
      <c r="I154" s="47"/>
      <c r="J154" s="47"/>
      <c r="K154" s="46" t="s">
        <v>59</v>
      </c>
      <c r="L154" s="42">
        <v>492.18</v>
      </c>
      <c r="M154" s="43">
        <v>0.62</v>
      </c>
      <c r="N154" s="43"/>
      <c r="O154" s="42"/>
      <c r="P154" s="42"/>
      <c r="Q154" s="42">
        <f>M154*D155*H155*I155*K153</f>
        <v>0.39059999999999995</v>
      </c>
      <c r="R154" s="44"/>
      <c r="T154" s="45">
        <f>Q154</f>
        <v>0.39059999999999995</v>
      </c>
    </row>
    <row r="155" spans="1:21" ht="12.75">
      <c r="A155" s="39"/>
      <c r="B155" s="40"/>
      <c r="C155" s="43" t="s">
        <v>36</v>
      </c>
      <c r="D155" s="48">
        <v>1</v>
      </c>
      <c r="E155" s="48">
        <v>1</v>
      </c>
      <c r="F155" s="48">
        <v>1</v>
      </c>
      <c r="G155" s="48">
        <v>1.15</v>
      </c>
      <c r="H155" s="48">
        <v>1.25</v>
      </c>
      <c r="I155" s="48">
        <v>1.2</v>
      </c>
      <c r="J155" s="48">
        <v>0.94</v>
      </c>
      <c r="K155" s="46"/>
      <c r="L155" s="49">
        <v>1.152</v>
      </c>
      <c r="M155" s="43"/>
      <c r="N155" s="43"/>
      <c r="O155" s="42"/>
      <c r="P155" s="42"/>
      <c r="Q155" s="42"/>
      <c r="R155" s="44"/>
      <c r="U155">
        <f>(P153+Q154)*L155*J155</f>
        <v>309.3334736486398</v>
      </c>
    </row>
    <row r="156" spans="1:22" ht="12.75">
      <c r="A156" s="39"/>
      <c r="B156" s="40"/>
      <c r="C156" s="43" t="s">
        <v>37</v>
      </c>
      <c r="D156" s="43"/>
      <c r="E156" s="43"/>
      <c r="F156" s="43"/>
      <c r="G156" s="43"/>
      <c r="H156" s="43"/>
      <c r="I156" s="43"/>
      <c r="J156" s="50"/>
      <c r="K156" s="46"/>
      <c r="L156" s="49">
        <v>0.7055</v>
      </c>
      <c r="M156" s="43"/>
      <c r="N156" s="43"/>
      <c r="O156" s="42"/>
      <c r="P156" s="42"/>
      <c r="Q156" s="42"/>
      <c r="R156" s="44"/>
      <c r="V156">
        <f>(P153+Q154)*L156</f>
        <v>201.53180930399995</v>
      </c>
    </row>
    <row r="157" spans="1:19" ht="12.75">
      <c r="A157" s="39" t="s">
        <v>111</v>
      </c>
      <c r="B157" s="40"/>
      <c r="C157" s="41" t="s">
        <v>112</v>
      </c>
      <c r="D157" s="43"/>
      <c r="E157" s="43"/>
      <c r="F157" s="43"/>
      <c r="G157" s="43"/>
      <c r="H157" s="43"/>
      <c r="I157" s="43"/>
      <c r="J157" s="50"/>
      <c r="K157" s="40">
        <v>4</v>
      </c>
      <c r="L157" s="42">
        <f>N157</f>
        <v>69.97742663656885</v>
      </c>
      <c r="M157" s="43"/>
      <c r="N157" s="42">
        <f>310/4.43</f>
        <v>69.97742663656885</v>
      </c>
      <c r="O157" s="87">
        <f>L157*K157</f>
        <v>279.9097065462754</v>
      </c>
      <c r="P157" s="42"/>
      <c r="Q157" s="42"/>
      <c r="R157" s="44">
        <f>N157*K157</f>
        <v>279.9097065462754</v>
      </c>
      <c r="S157" s="45">
        <f>R157</f>
        <v>279.9097065462754</v>
      </c>
    </row>
    <row r="158" spans="1:18" ht="12.75">
      <c r="A158" s="39"/>
      <c r="B158" s="40"/>
      <c r="C158" s="43"/>
      <c r="D158" s="43"/>
      <c r="E158" s="43"/>
      <c r="F158" s="43"/>
      <c r="G158" s="43"/>
      <c r="H158" s="43"/>
      <c r="I158" s="43"/>
      <c r="J158" s="50"/>
      <c r="K158" s="46" t="s">
        <v>67</v>
      </c>
      <c r="L158" s="49"/>
      <c r="M158" s="43"/>
      <c r="N158" s="43"/>
      <c r="O158" s="42"/>
      <c r="P158" s="42"/>
      <c r="Q158" s="42"/>
      <c r="R158" s="44"/>
    </row>
    <row r="159" spans="1:25" ht="12.75">
      <c r="A159" s="39" t="s">
        <v>113</v>
      </c>
      <c r="B159" s="40"/>
      <c r="C159" s="41" t="s">
        <v>114</v>
      </c>
      <c r="D159" s="43"/>
      <c r="E159" s="43"/>
      <c r="F159" s="43"/>
      <c r="G159" s="43"/>
      <c r="H159" s="43"/>
      <c r="I159" s="43"/>
      <c r="J159" s="50"/>
      <c r="K159" s="40">
        <v>16</v>
      </c>
      <c r="L159" s="42">
        <f>N159</f>
        <v>10.15801354401806</v>
      </c>
      <c r="M159" s="43"/>
      <c r="N159" s="42">
        <f>45/4.43</f>
        <v>10.15801354401806</v>
      </c>
      <c r="O159" s="87">
        <f>L159*K159</f>
        <v>162.52821670428895</v>
      </c>
      <c r="P159" s="42"/>
      <c r="Q159" s="42"/>
      <c r="R159" s="44">
        <f>N159*K159</f>
        <v>162.52821670428895</v>
      </c>
      <c r="S159" s="45">
        <f>R159</f>
        <v>162.52821670428895</v>
      </c>
      <c r="Y159">
        <f>(SUM(S157:S159)+R153)/K153</f>
        <v>8451.293626787057</v>
      </c>
    </row>
    <row r="160" spans="1:18" ht="12.75">
      <c r="A160" s="39"/>
      <c r="B160" s="40"/>
      <c r="C160" s="43"/>
      <c r="D160" s="43"/>
      <c r="E160" s="43"/>
      <c r="F160" s="43"/>
      <c r="G160" s="43"/>
      <c r="H160" s="43"/>
      <c r="I160" s="43"/>
      <c r="J160" s="50"/>
      <c r="K160" s="46" t="s">
        <v>67</v>
      </c>
      <c r="L160" s="49"/>
      <c r="M160" s="43"/>
      <c r="N160" s="43"/>
      <c r="O160" s="42"/>
      <c r="P160" s="42"/>
      <c r="Q160" s="42"/>
      <c r="R160" s="44"/>
    </row>
    <row r="161" spans="1:19" ht="25.5">
      <c r="A161" s="39">
        <v>10</v>
      </c>
      <c r="B161" s="40" t="s">
        <v>115</v>
      </c>
      <c r="C161" s="41" t="s">
        <v>116</v>
      </c>
      <c r="D161" s="41"/>
      <c r="E161" s="41"/>
      <c r="F161" s="41"/>
      <c r="G161" s="41"/>
      <c r="H161" s="41"/>
      <c r="I161" s="41"/>
      <c r="J161" s="41"/>
      <c r="K161" s="56">
        <f>2.5*8*2/100</f>
        <v>0.4</v>
      </c>
      <c r="L161" s="42">
        <v>1471.8</v>
      </c>
      <c r="M161" s="43">
        <v>5.36</v>
      </c>
      <c r="N161" s="43">
        <v>121.53</v>
      </c>
      <c r="O161" s="42">
        <f>P161+Q161+R161</f>
        <v>531.256</v>
      </c>
      <c r="P161" s="42">
        <f>L162*D163*G163*I163*K161</f>
        <v>480.5</v>
      </c>
      <c r="Q161" s="42">
        <f>M161*E163*H163*I163*K161</f>
        <v>2.144</v>
      </c>
      <c r="R161" s="44">
        <f>N161*F163*K161</f>
        <v>48.612</v>
      </c>
      <c r="S161" s="45"/>
    </row>
    <row r="162" spans="1:20" ht="12.75">
      <c r="A162" s="39" t="s">
        <v>34</v>
      </c>
      <c r="B162" s="46"/>
      <c r="C162" s="41"/>
      <c r="D162" s="47"/>
      <c r="E162" s="47"/>
      <c r="F162" s="47"/>
      <c r="G162" s="47"/>
      <c r="H162" s="47"/>
      <c r="I162" s="47"/>
      <c r="J162" s="47"/>
      <c r="K162" s="46" t="s">
        <v>59</v>
      </c>
      <c r="L162" s="42">
        <v>1201.25</v>
      </c>
      <c r="M162" s="43">
        <v>149.02</v>
      </c>
      <c r="N162" s="43"/>
      <c r="O162" s="42"/>
      <c r="P162" s="42"/>
      <c r="Q162" s="42">
        <f>M162*D163*H163*I163*K161</f>
        <v>59.608000000000004</v>
      </c>
      <c r="R162" s="44"/>
      <c r="T162" s="45">
        <f>Q162</f>
        <v>59.608000000000004</v>
      </c>
    </row>
    <row r="163" spans="1:21" ht="12.75">
      <c r="A163" s="39"/>
      <c r="B163" s="40"/>
      <c r="C163" s="43" t="s">
        <v>36</v>
      </c>
      <c r="D163" s="48">
        <v>1</v>
      </c>
      <c r="E163" s="48">
        <v>1</v>
      </c>
      <c r="F163" s="48">
        <v>1</v>
      </c>
      <c r="G163" s="48">
        <v>1</v>
      </c>
      <c r="H163" s="48">
        <v>1</v>
      </c>
      <c r="I163" s="48">
        <v>1</v>
      </c>
      <c r="J163" s="48">
        <v>0.94</v>
      </c>
      <c r="K163" s="46"/>
      <c r="L163" s="49">
        <v>1.03</v>
      </c>
      <c r="M163" s="43"/>
      <c r="N163" s="43"/>
      <c r="O163" s="42"/>
      <c r="P163" s="42"/>
      <c r="Q163" s="42"/>
      <c r="R163" s="44"/>
      <c r="U163">
        <f>(P161+Q162)*L163*J163</f>
        <v>522.9325656</v>
      </c>
    </row>
    <row r="164" spans="1:22" ht="12.75">
      <c r="A164" s="39"/>
      <c r="B164" s="40"/>
      <c r="C164" s="43" t="s">
        <v>37</v>
      </c>
      <c r="D164" s="43"/>
      <c r="E164" s="43"/>
      <c r="F164" s="43"/>
      <c r="G164" s="43"/>
      <c r="H164" s="43"/>
      <c r="I164" s="43"/>
      <c r="J164" s="50"/>
      <c r="K164" s="46"/>
      <c r="L164" s="49">
        <v>0.6</v>
      </c>
      <c r="M164" s="43"/>
      <c r="N164" s="43"/>
      <c r="O164" s="42"/>
      <c r="P164" s="42"/>
      <c r="Q164" s="42"/>
      <c r="R164" s="44"/>
      <c r="V164">
        <f>(P161+Q162)*L164</f>
        <v>324.06479999999993</v>
      </c>
    </row>
    <row r="165" spans="1:19" ht="12.75">
      <c r="A165" s="39">
        <v>10.1</v>
      </c>
      <c r="B165" s="40"/>
      <c r="C165" s="41" t="s">
        <v>117</v>
      </c>
      <c r="D165" s="43"/>
      <c r="E165" s="43"/>
      <c r="F165" s="43"/>
      <c r="G165" s="43"/>
      <c r="H165" s="43"/>
      <c r="I165" s="43"/>
      <c r="J165" s="50"/>
      <c r="K165" s="40">
        <f>K161*93.6</f>
        <v>37.44</v>
      </c>
      <c r="L165" s="42">
        <f>N165</f>
        <v>15.80135440180587</v>
      </c>
      <c r="M165" s="43"/>
      <c r="N165" s="42">
        <f>70/4.43</f>
        <v>15.80135440180587</v>
      </c>
      <c r="O165" s="87">
        <f>L165*K165</f>
        <v>591.6027088036118</v>
      </c>
      <c r="P165" s="42"/>
      <c r="Q165" s="42"/>
      <c r="R165" s="44">
        <f>N165*K165</f>
        <v>591.6027088036118</v>
      </c>
      <c r="S165" s="45">
        <f>R165</f>
        <v>591.6027088036118</v>
      </c>
    </row>
    <row r="166" spans="1:18" ht="12.75">
      <c r="A166" s="39"/>
      <c r="B166" s="40"/>
      <c r="C166" s="43"/>
      <c r="D166" s="43"/>
      <c r="E166" s="43"/>
      <c r="F166" s="43"/>
      <c r="G166" s="43"/>
      <c r="H166" s="43"/>
      <c r="I166" s="43"/>
      <c r="J166" s="50"/>
      <c r="K166" s="46" t="s">
        <v>61</v>
      </c>
      <c r="L166" s="43"/>
      <c r="M166" s="43"/>
      <c r="N166" s="42"/>
      <c r="O166" s="47"/>
      <c r="P166" s="42"/>
      <c r="Q166" s="42"/>
      <c r="R166" s="44"/>
    </row>
    <row r="167" spans="1:19" ht="12.75">
      <c r="A167" s="39">
        <v>10.2</v>
      </c>
      <c r="B167" s="40"/>
      <c r="C167" s="41" t="s">
        <v>118</v>
      </c>
      <c r="D167" s="43"/>
      <c r="E167" s="43"/>
      <c r="F167" s="43"/>
      <c r="G167" s="43"/>
      <c r="H167" s="43"/>
      <c r="I167" s="43"/>
      <c r="J167" s="50"/>
      <c r="K167" s="40">
        <v>20</v>
      </c>
      <c r="L167" s="42">
        <f>N167</f>
        <v>2.708803611738149</v>
      </c>
      <c r="M167" s="43"/>
      <c r="N167" s="42">
        <f>12/4.43</f>
        <v>2.708803611738149</v>
      </c>
      <c r="O167" s="87">
        <f>L167*K167</f>
        <v>54.176072234762984</v>
      </c>
      <c r="P167" s="42"/>
      <c r="Q167" s="42"/>
      <c r="R167" s="44">
        <f>N167*K167</f>
        <v>54.176072234762984</v>
      </c>
      <c r="S167" s="45">
        <f>R167</f>
        <v>54.176072234762984</v>
      </c>
    </row>
    <row r="168" spans="1:18" ht="12.75">
      <c r="A168" s="39"/>
      <c r="B168" s="40"/>
      <c r="C168" s="43"/>
      <c r="D168" s="43"/>
      <c r="E168" s="43"/>
      <c r="F168" s="43"/>
      <c r="G168" s="43"/>
      <c r="H168" s="43"/>
      <c r="I168" s="43"/>
      <c r="J168" s="50"/>
      <c r="K168" s="46" t="s">
        <v>67</v>
      </c>
      <c r="L168" s="43"/>
      <c r="M168" s="43"/>
      <c r="N168" s="42"/>
      <c r="O168" s="47"/>
      <c r="P168" s="42"/>
      <c r="Q168" s="42"/>
      <c r="R168" s="44"/>
    </row>
    <row r="169" spans="1:19" ht="12.75">
      <c r="A169" s="39">
        <v>10.3</v>
      </c>
      <c r="B169" s="40"/>
      <c r="C169" s="41" t="s">
        <v>119</v>
      </c>
      <c r="D169" s="43"/>
      <c r="E169" s="43"/>
      <c r="F169" s="43"/>
      <c r="G169" s="43"/>
      <c r="H169" s="43"/>
      <c r="I169" s="43"/>
      <c r="J169" s="50"/>
      <c r="K169" s="40">
        <v>16</v>
      </c>
      <c r="L169" s="42">
        <f>N169</f>
        <v>4.063205417607223</v>
      </c>
      <c r="M169" s="43"/>
      <c r="N169" s="42">
        <f>18/4.43</f>
        <v>4.063205417607223</v>
      </c>
      <c r="O169" s="87">
        <f>L169*K169</f>
        <v>65.01128668171557</v>
      </c>
      <c r="P169" s="42"/>
      <c r="Q169" s="42"/>
      <c r="R169" s="44">
        <f>N169*K169</f>
        <v>65.01128668171557</v>
      </c>
      <c r="S169" s="45">
        <f>R169</f>
        <v>65.01128668171557</v>
      </c>
    </row>
    <row r="170" spans="1:18" ht="12.75">
      <c r="A170" s="39"/>
      <c r="B170" s="40"/>
      <c r="C170" s="43"/>
      <c r="D170" s="43"/>
      <c r="E170" s="43"/>
      <c r="F170" s="43"/>
      <c r="G170" s="43"/>
      <c r="H170" s="43"/>
      <c r="I170" s="43"/>
      <c r="J170" s="50"/>
      <c r="K170" s="46" t="s">
        <v>67</v>
      </c>
      <c r="L170" s="43"/>
      <c r="M170" s="43"/>
      <c r="N170" s="42"/>
      <c r="O170" s="47"/>
      <c r="P170" s="42"/>
      <c r="Q170" s="42"/>
      <c r="R170" s="44"/>
    </row>
    <row r="171" spans="1:19" ht="12.75">
      <c r="A171" s="39">
        <v>10.4</v>
      </c>
      <c r="B171" s="40"/>
      <c r="C171" s="41" t="s">
        <v>120</v>
      </c>
      <c r="D171" s="43"/>
      <c r="E171" s="43"/>
      <c r="F171" s="43"/>
      <c r="G171" s="43"/>
      <c r="H171" s="43"/>
      <c r="I171" s="43"/>
      <c r="J171" s="50"/>
      <c r="K171" s="40">
        <v>50</v>
      </c>
      <c r="L171" s="42">
        <f>N171</f>
        <v>41.7607223476298</v>
      </c>
      <c r="M171" s="43"/>
      <c r="N171" s="42">
        <f>185/4.43</f>
        <v>41.7607223476298</v>
      </c>
      <c r="O171" s="87">
        <f>L171*K171</f>
        <v>2088.03611738149</v>
      </c>
      <c r="P171" s="42"/>
      <c r="Q171" s="42"/>
      <c r="R171" s="44">
        <f>N171*K171</f>
        <v>2088.03611738149</v>
      </c>
      <c r="S171" s="45">
        <f>R171</f>
        <v>2088.03611738149</v>
      </c>
    </row>
    <row r="172" spans="1:18" ht="12.75">
      <c r="A172" s="39"/>
      <c r="B172" s="40"/>
      <c r="C172" s="43"/>
      <c r="D172" s="43"/>
      <c r="E172" s="43"/>
      <c r="F172" s="43"/>
      <c r="G172" s="43"/>
      <c r="H172" s="43"/>
      <c r="I172" s="43"/>
      <c r="J172" s="50"/>
      <c r="K172" s="46" t="s">
        <v>67</v>
      </c>
      <c r="L172" s="43"/>
      <c r="M172" s="43"/>
      <c r="N172" s="42"/>
      <c r="O172" s="47"/>
      <c r="P172" s="42"/>
      <c r="Q172" s="42"/>
      <c r="R172" s="44"/>
    </row>
    <row r="173" spans="1:19" ht="12.75">
      <c r="A173" s="39">
        <v>10.5</v>
      </c>
      <c r="B173" s="40"/>
      <c r="C173" s="41" t="s">
        <v>121</v>
      </c>
      <c r="D173" s="43"/>
      <c r="E173" s="43"/>
      <c r="F173" s="43"/>
      <c r="G173" s="43"/>
      <c r="H173" s="43"/>
      <c r="I173" s="43"/>
      <c r="J173" s="50"/>
      <c r="K173" s="40">
        <v>30</v>
      </c>
      <c r="L173" s="42">
        <f>N173</f>
        <v>2.483069977426637</v>
      </c>
      <c r="M173" s="43"/>
      <c r="N173" s="42">
        <f>11/4.43</f>
        <v>2.483069977426637</v>
      </c>
      <c r="O173" s="87">
        <f>L173*K173</f>
        <v>74.4920993227991</v>
      </c>
      <c r="P173" s="42"/>
      <c r="Q173" s="42"/>
      <c r="R173" s="44">
        <f>N173*K173</f>
        <v>74.4920993227991</v>
      </c>
      <c r="S173" s="45">
        <f>R173</f>
        <v>74.4920993227991</v>
      </c>
    </row>
    <row r="174" spans="1:18" ht="12.75">
      <c r="A174" s="39"/>
      <c r="B174" s="40"/>
      <c r="C174" s="43"/>
      <c r="D174" s="43"/>
      <c r="E174" s="43"/>
      <c r="F174" s="43"/>
      <c r="G174" s="43"/>
      <c r="H174" s="43"/>
      <c r="I174" s="43"/>
      <c r="J174" s="50"/>
      <c r="K174" s="46" t="s">
        <v>67</v>
      </c>
      <c r="L174" s="43"/>
      <c r="M174" s="43"/>
      <c r="N174" s="42"/>
      <c r="O174" s="47"/>
      <c r="P174" s="42"/>
      <c r="Q174" s="42"/>
      <c r="R174" s="44"/>
    </row>
    <row r="175" spans="1:19" ht="12.75">
      <c r="A175" s="39">
        <v>10.6</v>
      </c>
      <c r="B175" s="40"/>
      <c r="C175" s="41" t="s">
        <v>122</v>
      </c>
      <c r="D175" s="43"/>
      <c r="E175" s="43"/>
      <c r="F175" s="43"/>
      <c r="G175" s="43"/>
      <c r="H175" s="43"/>
      <c r="I175" s="43"/>
      <c r="J175" s="50"/>
      <c r="K175" s="40">
        <v>40</v>
      </c>
      <c r="L175" s="42">
        <f>N175</f>
        <v>1.3544018058690745</v>
      </c>
      <c r="M175" s="43"/>
      <c r="N175" s="42">
        <f>6/4.43</f>
        <v>1.3544018058690745</v>
      </c>
      <c r="O175" s="87">
        <f>L175*K175</f>
        <v>54.176072234762984</v>
      </c>
      <c r="P175" s="42"/>
      <c r="Q175" s="42"/>
      <c r="R175" s="44">
        <f>N175*K175</f>
        <v>54.176072234762984</v>
      </c>
      <c r="S175" s="45">
        <f>R175</f>
        <v>54.176072234762984</v>
      </c>
    </row>
    <row r="176" spans="1:18" ht="12.75">
      <c r="A176" s="39"/>
      <c r="B176" s="40"/>
      <c r="C176" s="43"/>
      <c r="D176" s="43"/>
      <c r="E176" s="43"/>
      <c r="F176" s="43"/>
      <c r="G176" s="43"/>
      <c r="H176" s="43"/>
      <c r="I176" s="43"/>
      <c r="J176" s="50"/>
      <c r="K176" s="46" t="s">
        <v>67</v>
      </c>
      <c r="L176" s="49"/>
      <c r="M176" s="43"/>
      <c r="N176" s="43"/>
      <c r="O176" s="42"/>
      <c r="P176" s="42"/>
      <c r="Q176" s="42"/>
      <c r="R176" s="44"/>
    </row>
    <row r="177" spans="1:19" ht="25.5">
      <c r="A177" s="39">
        <v>11</v>
      </c>
      <c r="B177" s="40" t="s">
        <v>123</v>
      </c>
      <c r="C177" s="41" t="s">
        <v>124</v>
      </c>
      <c r="D177" s="41"/>
      <c r="E177" s="41"/>
      <c r="F177" s="41"/>
      <c r="G177" s="41"/>
      <c r="H177" s="41"/>
      <c r="I177" s="41"/>
      <c r="J177" s="41"/>
      <c r="K177" s="56">
        <v>1.1</v>
      </c>
      <c r="L177" s="42">
        <v>357.49</v>
      </c>
      <c r="M177" s="43">
        <v>0.96</v>
      </c>
      <c r="N177" s="43">
        <v>144.65</v>
      </c>
      <c r="O177" s="42">
        <f>P177+Q177+R177</f>
        <v>393.23900000000003</v>
      </c>
      <c r="P177" s="42">
        <f>L178*D179*G179*I179*K177</f>
        <v>233.068</v>
      </c>
      <c r="Q177" s="42">
        <f>M177*E179*H179*I179*K177</f>
        <v>1.056</v>
      </c>
      <c r="R177" s="44">
        <f>N177*F179*K177</f>
        <v>159.115</v>
      </c>
      <c r="S177" s="45"/>
    </row>
    <row r="178" spans="1:20" ht="12.75">
      <c r="A178" s="39" t="s">
        <v>34</v>
      </c>
      <c r="B178" s="46"/>
      <c r="C178" s="41"/>
      <c r="D178" s="47"/>
      <c r="E178" s="47"/>
      <c r="F178" s="47"/>
      <c r="G178" s="47"/>
      <c r="H178" s="47"/>
      <c r="I178" s="47"/>
      <c r="J178" s="47"/>
      <c r="K178" s="46" t="s">
        <v>55</v>
      </c>
      <c r="L178" s="42">
        <v>211.88</v>
      </c>
      <c r="M178" s="43">
        <v>0.09</v>
      </c>
      <c r="N178" s="43"/>
      <c r="O178" s="42"/>
      <c r="P178" s="42"/>
      <c r="Q178" s="42">
        <f>M178*D179*H179*I179*K177</f>
        <v>0.099</v>
      </c>
      <c r="R178" s="44"/>
      <c r="T178" s="45">
        <f>Q178</f>
        <v>0.099</v>
      </c>
    </row>
    <row r="179" spans="1:21" ht="12.75">
      <c r="A179" s="39"/>
      <c r="B179" s="40"/>
      <c r="C179" s="43" t="s">
        <v>36</v>
      </c>
      <c r="D179" s="48">
        <v>1</v>
      </c>
      <c r="E179" s="48">
        <v>1</v>
      </c>
      <c r="F179" s="48">
        <v>1</v>
      </c>
      <c r="G179" s="48">
        <v>1</v>
      </c>
      <c r="H179" s="48">
        <v>1</v>
      </c>
      <c r="I179" s="48">
        <v>1</v>
      </c>
      <c r="J179" s="48">
        <v>0.94</v>
      </c>
      <c r="K179" s="46"/>
      <c r="L179" s="49">
        <v>0.8</v>
      </c>
      <c r="M179" s="43"/>
      <c r="N179" s="43"/>
      <c r="O179" s="42"/>
      <c r="P179" s="42"/>
      <c r="Q179" s="42"/>
      <c r="R179" s="44"/>
      <c r="U179">
        <f>(P177+Q178)*L179*J179</f>
        <v>175.34158399999998</v>
      </c>
    </row>
    <row r="180" spans="1:22" ht="13.5" thickBot="1">
      <c r="A180" s="89"/>
      <c r="B180" s="90"/>
      <c r="C180" s="91" t="s">
        <v>37</v>
      </c>
      <c r="D180" s="91"/>
      <c r="E180" s="91"/>
      <c r="F180" s="91"/>
      <c r="G180" s="91"/>
      <c r="H180" s="91"/>
      <c r="I180" s="91"/>
      <c r="J180" s="92"/>
      <c r="K180" s="93"/>
      <c r="L180" s="94">
        <v>0.5</v>
      </c>
      <c r="M180" s="91"/>
      <c r="N180" s="91"/>
      <c r="O180" s="95"/>
      <c r="P180" s="95"/>
      <c r="Q180" s="95"/>
      <c r="R180" s="96"/>
      <c r="V180">
        <f>(P177+Q178)*L180</f>
        <v>116.5835</v>
      </c>
    </row>
    <row r="181" spans="1:18" ht="12.75">
      <c r="A181" s="97"/>
      <c r="B181" s="98"/>
      <c r="C181" s="97"/>
      <c r="D181" s="97"/>
      <c r="E181" s="97"/>
      <c r="F181" s="97"/>
      <c r="G181" s="97"/>
      <c r="H181" s="97"/>
      <c r="I181" s="97"/>
      <c r="J181" s="97"/>
      <c r="K181" s="99"/>
      <c r="L181" s="100"/>
      <c r="M181" s="100"/>
      <c r="N181" s="100"/>
      <c r="O181" s="101"/>
      <c r="P181" s="101"/>
      <c r="Q181" s="101"/>
      <c r="R181" s="101"/>
    </row>
    <row r="182" spans="1:22" ht="12.75">
      <c r="A182" s="102" t="s">
        <v>125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4"/>
      <c r="N182" s="104"/>
      <c r="O182" s="105">
        <f>SUM(O15:O181)</f>
        <v>83402.36284678859</v>
      </c>
      <c r="P182" s="105">
        <f>SUM(P15:P181)</f>
        <v>21799.98249560727</v>
      </c>
      <c r="Q182" s="105">
        <f>SUM(Q15:Q181)-Q183</f>
        <v>958.9603429999995</v>
      </c>
      <c r="R182" s="105">
        <f>SUM(R15:R181)</f>
        <v>69462.75219023587</v>
      </c>
      <c r="S182" s="106">
        <f>SUM(S15:S181)</f>
        <v>20880.601676435854</v>
      </c>
      <c r="T182">
        <f>SUM(T15:T181)</f>
        <v>171.26943945</v>
      </c>
      <c r="U182">
        <f>SUM(U15:U181)</f>
        <v>15287.826282332084</v>
      </c>
      <c r="V182">
        <f>SUM(V15:V181)</f>
        <v>9040.668164931025</v>
      </c>
    </row>
    <row r="183" spans="1:18" ht="12.75">
      <c r="A183" s="107" t="s">
        <v>34</v>
      </c>
      <c r="M183" s="108"/>
      <c r="N183" s="108"/>
      <c r="O183" s="109"/>
      <c r="P183" s="109"/>
      <c r="Q183" s="110">
        <f>T182</f>
        <v>171.26943945</v>
      </c>
      <c r="R183" s="109"/>
    </row>
    <row r="184" spans="1:18" ht="12.75">
      <c r="A184" s="111" t="s">
        <v>126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3"/>
      <c r="P184" s="114" t="s">
        <v>127</v>
      </c>
      <c r="Q184" s="114"/>
      <c r="R184" s="115" t="s">
        <v>128</v>
      </c>
    </row>
    <row r="185" spans="1:18" ht="12.75">
      <c r="A185" s="116" t="s">
        <v>129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7"/>
      <c r="L185" s="117"/>
      <c r="M185" s="118"/>
      <c r="N185" s="119"/>
      <c r="O185" s="119"/>
      <c r="P185" s="119">
        <v>8.95</v>
      </c>
      <c r="Q185" s="119"/>
      <c r="R185" s="120">
        <f>Q183*P185</f>
        <v>1532.8614830774998</v>
      </c>
    </row>
    <row r="186" spans="1:18" ht="12.75">
      <c r="A186" s="116" t="s">
        <v>130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7"/>
      <c r="L186" s="117"/>
      <c r="M186" s="118"/>
      <c r="N186" s="119"/>
      <c r="O186" s="119"/>
      <c r="P186" s="119">
        <v>8.95</v>
      </c>
      <c r="Q186" s="119"/>
      <c r="R186" s="120">
        <f>P182*P186</f>
        <v>195109.84333568506</v>
      </c>
    </row>
    <row r="187" spans="1:18" ht="12.75">
      <c r="A187" s="116" t="s">
        <v>131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7"/>
      <c r="L187" s="117"/>
      <c r="M187" s="118"/>
      <c r="N187" s="119"/>
      <c r="O187" s="119"/>
      <c r="P187" s="119">
        <v>3.54</v>
      </c>
      <c r="Q187" s="119"/>
      <c r="R187" s="120">
        <f>Q182*P187</f>
        <v>3394.719614219998</v>
      </c>
    </row>
    <row r="188" spans="1:18" ht="12.75">
      <c r="A188" s="116" t="s">
        <v>132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7"/>
      <c r="L188" s="117"/>
      <c r="M188" s="118"/>
      <c r="N188" s="119"/>
      <c r="O188" s="119"/>
      <c r="P188" s="119">
        <v>4.43</v>
      </c>
      <c r="Q188" s="119"/>
      <c r="R188" s="120">
        <f>R182*P188</f>
        <v>307719.9922027449</v>
      </c>
    </row>
    <row r="189" spans="1:18" ht="12.75">
      <c r="A189" s="116" t="s">
        <v>133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7"/>
      <c r="L189" s="117"/>
      <c r="M189" s="118"/>
      <c r="N189" s="119"/>
      <c r="O189" s="119"/>
      <c r="P189" s="121">
        <v>0.02</v>
      </c>
      <c r="Q189" s="119"/>
      <c r="R189" s="120">
        <f>P189*S182*P188</f>
        <v>1850.0213085322164</v>
      </c>
    </row>
    <row r="190" spans="1:18" ht="12.75">
      <c r="A190" s="122" t="s">
        <v>134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9"/>
      <c r="L190" s="119"/>
      <c r="M190" s="119"/>
      <c r="N190" s="119"/>
      <c r="P190" s="123"/>
      <c r="Q190" s="119"/>
      <c r="R190" s="124">
        <f>SUM(R185:R189)-R185</f>
        <v>508074.5764611821</v>
      </c>
    </row>
    <row r="191" spans="1:18" ht="12.75">
      <c r="A191" s="125" t="s">
        <v>135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6"/>
      <c r="L191" s="126"/>
      <c r="M191" s="127"/>
      <c r="N191" s="128"/>
      <c r="P191" s="128"/>
      <c r="Q191" s="129"/>
      <c r="R191" s="130">
        <f>U182*P186</f>
        <v>136826.04522687214</v>
      </c>
    </row>
    <row r="192" spans="1:18" ht="12.75">
      <c r="A192" s="125" t="s">
        <v>136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6"/>
      <c r="L192" s="126"/>
      <c r="M192" s="127"/>
      <c r="N192" s="128"/>
      <c r="P192" s="128"/>
      <c r="Q192" s="129"/>
      <c r="R192" s="130">
        <f>V182*P186</f>
        <v>80913.98007613266</v>
      </c>
    </row>
    <row r="193" spans="1:19" ht="12.75">
      <c r="A193" s="122" t="s">
        <v>134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2"/>
      <c r="L193" s="132"/>
      <c r="M193" s="132"/>
      <c r="N193" s="132"/>
      <c r="O193" s="132"/>
      <c r="P193" s="131"/>
      <c r="Q193" s="132"/>
      <c r="R193" s="133">
        <f>SUM(R190:R192)</f>
        <v>725814.6017641869</v>
      </c>
      <c r="S193" s="130"/>
    </row>
    <row r="194" spans="1:18" ht="12.75">
      <c r="A194" s="134" t="s">
        <v>137</v>
      </c>
      <c r="R194" s="135">
        <f>R193*0.18</f>
        <v>130646.62831755364</v>
      </c>
    </row>
    <row r="195" spans="1:19" ht="12.75">
      <c r="A195" s="134" t="s">
        <v>138</v>
      </c>
      <c r="R195" s="135">
        <f>R194+R193</f>
        <v>856461.2300817405</v>
      </c>
      <c r="S195" s="130"/>
    </row>
    <row r="196" ht="12.75">
      <c r="A196" s="136"/>
    </row>
    <row r="197" ht="12.75">
      <c r="A197" s="136"/>
    </row>
    <row r="198" ht="12.75">
      <c r="A198" t="s">
        <v>139</v>
      </c>
    </row>
    <row r="199" ht="12.75">
      <c r="A199" s="137"/>
    </row>
    <row r="200" ht="12.75">
      <c r="A200" s="138" t="s">
        <v>140</v>
      </c>
    </row>
    <row r="202" spans="18:19" ht="12.75">
      <c r="R202" s="139"/>
      <c r="S202" s="130"/>
    </row>
    <row r="203" spans="18:19" ht="12.75">
      <c r="R203" s="140"/>
      <c r="S203" s="141"/>
    </row>
    <row r="205" ht="12.75">
      <c r="S205" s="130"/>
    </row>
    <row r="206" ht="12.75">
      <c r="R206" s="141"/>
    </row>
    <row r="217" ht="13.5" thickBot="1"/>
    <row r="218" spans="3:18" ht="26.25" thickBot="1">
      <c r="C218" s="142"/>
      <c r="D218" s="143"/>
      <c r="E218" s="143"/>
      <c r="F218" s="143"/>
      <c r="G218" s="143"/>
      <c r="H218" s="143"/>
      <c r="I218" s="143"/>
      <c r="J218" s="143"/>
      <c r="K218" s="144" t="s">
        <v>141</v>
      </c>
      <c r="L218" s="144" t="s">
        <v>142</v>
      </c>
      <c r="M218" s="144" t="s">
        <v>143</v>
      </c>
      <c r="N218" s="144" t="s">
        <v>144</v>
      </c>
      <c r="O218" s="144" t="s">
        <v>145</v>
      </c>
      <c r="P218" s="143" t="s">
        <v>146</v>
      </c>
      <c r="Q218" s="144" t="s">
        <v>142</v>
      </c>
      <c r="R218" s="145"/>
    </row>
    <row r="219" spans="3:18" ht="12.75">
      <c r="C219" s="146">
        <v>44</v>
      </c>
      <c r="D219" s="147"/>
      <c r="E219" s="147"/>
      <c r="F219" s="147"/>
      <c r="G219" s="147"/>
      <c r="H219" s="147"/>
      <c r="I219" s="147"/>
      <c r="J219" s="147"/>
      <c r="K219" s="147">
        <f>((1.6+1.2+2.9+2.9)*2+0.6)*2.1-0.7*2.05*3</f>
        <v>33.075</v>
      </c>
      <c r="L219" s="147">
        <f>((1.6+1.2+2.9+2.9)*2+0.6)*0.9</f>
        <v>16.02</v>
      </c>
      <c r="M219" s="147"/>
      <c r="N219" s="147">
        <f>2.8*2.9</f>
        <v>8.12</v>
      </c>
      <c r="O219" s="147">
        <f>1.4*3</f>
        <v>4.199999999999999</v>
      </c>
      <c r="P219" s="147">
        <f aca="true" t="shared" si="0" ref="P219:P224">1.4*2.1*2</f>
        <v>5.88</v>
      </c>
      <c r="Q219" s="147">
        <f>1.4*2*0.9</f>
        <v>2.52</v>
      </c>
      <c r="R219" s="148"/>
    </row>
    <row r="220" spans="3:18" ht="12.75">
      <c r="C220" s="149">
        <v>48</v>
      </c>
      <c r="D220" s="47"/>
      <c r="E220" s="47"/>
      <c r="F220" s="47"/>
      <c r="G220" s="47"/>
      <c r="H220" s="47"/>
      <c r="I220" s="47"/>
      <c r="J220" s="47"/>
      <c r="K220" s="47">
        <f>(1.2+1.6+2.3+2.3)*2*2.1-2.05*0.7*3</f>
        <v>26.775</v>
      </c>
      <c r="L220" s="47">
        <f>(1.2+1.6+2.3+2.3)*2*0.9</f>
        <v>13.319999999999999</v>
      </c>
      <c r="M220" s="47"/>
      <c r="N220" s="47">
        <f>2.8*2.3</f>
        <v>6.4399999999999995</v>
      </c>
      <c r="O220" s="47">
        <f>O219</f>
        <v>4.199999999999999</v>
      </c>
      <c r="P220" s="47">
        <f t="shared" si="0"/>
        <v>5.88</v>
      </c>
      <c r="Q220" s="47">
        <f>Q219</f>
        <v>2.52</v>
      </c>
      <c r="R220" s="150"/>
    </row>
    <row r="221" spans="3:18" ht="12.75">
      <c r="C221" s="149">
        <v>49</v>
      </c>
      <c r="D221" s="47"/>
      <c r="E221" s="47"/>
      <c r="F221" s="47"/>
      <c r="G221" s="47"/>
      <c r="H221" s="47"/>
      <c r="I221" s="47"/>
      <c r="J221" s="47"/>
      <c r="K221" s="47">
        <f>(2.9+2.9+1.6+1.2+4.45+2.1)*2*2.1-0.7*2.05*5</f>
        <v>56.455000000000005</v>
      </c>
      <c r="L221" s="47">
        <f>(2.9+2.9+1.6+1.2+4.45+2.1)*2*0.9</f>
        <v>27.27</v>
      </c>
      <c r="M221" s="47"/>
      <c r="N221" s="47">
        <f>2.9*4.45</f>
        <v>12.905</v>
      </c>
      <c r="O221" s="47">
        <f>O220</f>
        <v>4.199999999999999</v>
      </c>
      <c r="P221" s="47">
        <f t="shared" si="0"/>
        <v>5.88</v>
      </c>
      <c r="Q221" s="47">
        <f>Q219</f>
        <v>2.52</v>
      </c>
      <c r="R221" s="150"/>
    </row>
    <row r="222" spans="3:18" ht="12.75">
      <c r="C222" s="149">
        <v>81</v>
      </c>
      <c r="D222" s="47"/>
      <c r="E222" s="47"/>
      <c r="F222" s="47"/>
      <c r="G222" s="47"/>
      <c r="H222" s="47"/>
      <c r="I222" s="47"/>
      <c r="J222" s="47"/>
      <c r="K222" s="47">
        <f>K219</f>
        <v>33.075</v>
      </c>
      <c r="L222" s="47">
        <f>L219</f>
        <v>16.02</v>
      </c>
      <c r="M222" s="47"/>
      <c r="N222" s="47">
        <v>8.12</v>
      </c>
      <c r="O222" s="47">
        <f>O221</f>
        <v>4.199999999999999</v>
      </c>
      <c r="P222" s="47">
        <f t="shared" si="0"/>
        <v>5.88</v>
      </c>
      <c r="Q222" s="47">
        <f>Q219</f>
        <v>2.52</v>
      </c>
      <c r="R222" s="150"/>
    </row>
    <row r="223" spans="3:18" ht="12.75">
      <c r="C223" s="149">
        <v>82</v>
      </c>
      <c r="D223" s="47"/>
      <c r="E223" s="47"/>
      <c r="F223" s="47"/>
      <c r="G223" s="47"/>
      <c r="H223" s="47"/>
      <c r="I223" s="47"/>
      <c r="J223" s="47"/>
      <c r="K223" s="47">
        <f>(2.3+2.3+1.55+1.27)*2*2.1-2.05*0.7*3</f>
        <v>26.859</v>
      </c>
      <c r="L223" s="47">
        <f>(2.3+2.3+1.55+1.27)*2*0.9</f>
        <v>13.356</v>
      </c>
      <c r="M223" s="47"/>
      <c r="N223" s="47">
        <f>2.3*1.82</f>
        <v>4.186</v>
      </c>
      <c r="O223" s="47">
        <f>O222</f>
        <v>4.199999999999999</v>
      </c>
      <c r="P223" s="47">
        <f t="shared" si="0"/>
        <v>5.88</v>
      </c>
      <c r="Q223" s="47">
        <f>Q219</f>
        <v>2.52</v>
      </c>
      <c r="R223" s="150"/>
    </row>
    <row r="224" spans="3:18" ht="13.5" thickBot="1">
      <c r="C224" s="151">
        <v>85</v>
      </c>
      <c r="D224" s="152"/>
      <c r="E224" s="152"/>
      <c r="F224" s="152"/>
      <c r="G224" s="152"/>
      <c r="H224" s="152"/>
      <c r="I224" s="152"/>
      <c r="J224" s="152"/>
      <c r="K224" s="152">
        <f>K220</f>
        <v>26.775</v>
      </c>
      <c r="L224" s="152">
        <f>L220</f>
        <v>13.319999999999999</v>
      </c>
      <c r="M224" s="152"/>
      <c r="N224" s="152">
        <f>2.3*1.8</f>
        <v>4.14</v>
      </c>
      <c r="O224" s="152">
        <f>O223</f>
        <v>4.199999999999999</v>
      </c>
      <c r="P224" s="152">
        <f t="shared" si="0"/>
        <v>5.88</v>
      </c>
      <c r="Q224" s="152">
        <f>Q219</f>
        <v>2.52</v>
      </c>
      <c r="R224" s="153"/>
    </row>
    <row r="225" spans="3:18" ht="13.5" thickBot="1">
      <c r="C225" s="154"/>
      <c r="D225" s="155"/>
      <c r="E225" s="155"/>
      <c r="F225" s="155"/>
      <c r="G225" s="155"/>
      <c r="H225" s="155"/>
      <c r="I225" s="155"/>
      <c r="J225" s="155"/>
      <c r="K225" s="155">
        <f>SUM(K219:K224)</f>
        <v>203.014</v>
      </c>
      <c r="L225" s="155">
        <f>SUM(L219:L224)</f>
        <v>99.30599999999998</v>
      </c>
      <c r="M225" s="155"/>
      <c r="N225" s="155">
        <f>SUM(N219:N224)</f>
        <v>43.910999999999994</v>
      </c>
      <c r="O225" s="155">
        <f>SUM(O219:O224)</f>
        <v>25.199999999999996</v>
      </c>
      <c r="P225" s="155">
        <f>SUM(P219:P224)</f>
        <v>35.28</v>
      </c>
      <c r="Q225" s="155">
        <f>SUM(Q219:Q224)</f>
        <v>15.12</v>
      </c>
      <c r="R225" s="156"/>
    </row>
    <row r="226" spans="3:18" ht="12.75">
      <c r="C226" s="157"/>
      <c r="D226" s="157"/>
      <c r="E226" s="157"/>
      <c r="F226" s="157"/>
      <c r="G226" s="157"/>
      <c r="H226" s="157"/>
      <c r="I226" s="157"/>
      <c r="J226" s="157"/>
      <c r="K226" s="157"/>
      <c r="L226" s="157">
        <f>L225+N225+Q225</f>
        <v>158.337</v>
      </c>
      <c r="M226" s="157"/>
      <c r="N226" s="157"/>
      <c r="O226" s="157"/>
      <c r="P226" s="157"/>
      <c r="Q226" s="157"/>
      <c r="R226" s="157"/>
    </row>
    <row r="227" spans="3:18" ht="12.75"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3:18" ht="12.75"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3:18" ht="12.75"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3:18" ht="12.75"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3:18" ht="12.75"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3:18" ht="12.75"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3:18" ht="12.75"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3:18" ht="12.75"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6" spans="16:20" ht="12.75">
      <c r="P236" s="134"/>
      <c r="T236" s="130"/>
    </row>
    <row r="237" ht="12.75">
      <c r="S237" s="158"/>
    </row>
    <row r="238" ht="12.75">
      <c r="S238" s="45"/>
    </row>
    <row r="248" ht="12.75">
      <c r="T248" s="130"/>
    </row>
    <row r="250" ht="12.75">
      <c r="S250" s="159"/>
    </row>
    <row r="251" ht="12.75">
      <c r="S251" s="141"/>
    </row>
    <row r="257" ht="12.75">
      <c r="T257" s="160"/>
    </row>
    <row r="264" ht="12.75">
      <c r="T264" s="160"/>
    </row>
    <row r="267" ht="12.75">
      <c r="T267" s="161"/>
    </row>
  </sheetData>
  <mergeCells count="22">
    <mergeCell ref="O1:P1"/>
    <mergeCell ref="A2:C2"/>
    <mergeCell ref="Q3:R3"/>
    <mergeCell ref="A4:R4"/>
    <mergeCell ref="A5:R5"/>
    <mergeCell ref="A10:A12"/>
    <mergeCell ref="B10:B12"/>
    <mergeCell ref="C10:C12"/>
    <mergeCell ref="D10:F10"/>
    <mergeCell ref="G10:H10"/>
    <mergeCell ref="L10:N10"/>
    <mergeCell ref="O10:R10"/>
    <mergeCell ref="K11:K12"/>
    <mergeCell ref="A184:O184"/>
    <mergeCell ref="P184:Q184"/>
    <mergeCell ref="K185:M185"/>
    <mergeCell ref="K186:M186"/>
    <mergeCell ref="K192:M192"/>
    <mergeCell ref="K187:M187"/>
    <mergeCell ref="K188:M188"/>
    <mergeCell ref="K189:M189"/>
    <mergeCell ref="K191:M19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2008-07-29T10:47:55Z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